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26" windowWidth="25065" windowHeight="7365" tabRatio="804" activeTab="0"/>
  </bookViews>
  <sheets>
    <sheet name="20-22.01.2012 (weekEND)"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'20-22.01.2012 (weekEND)'!$A$1:$AP$130</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<sst xmlns="http://schemas.openxmlformats.org/spreadsheetml/2006/main" count="2672" uniqueCount="458">
  <si>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</si>
  <si>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</si>
  <si>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</si>
  <si>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</si>
  <si>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</si>
  <si>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</si>
  <si>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</si>
  <si>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</si>
  <si>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</si>
  <si>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</si>
  <si>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</si>
  <si>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</si>
  <si>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</si>
  <si>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</si>
  <si>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</si>
  <si>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</si>
  <si>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</si>
  <si>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</si>
  <si>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</si>
  <si>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</si>
  <si>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</si>
  <si>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</si>
  <si>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</si>
  <si>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</si>
  <si>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</si>
  <si>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</si>
  <si>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</si>
  <si>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</si>
  <si>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</si>
  <si>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</si>
  <si>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</si>
  <si>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</si>
  <si>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</si>
  <si>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</si>
  <si>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</si>
  <si>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</si>
  <si>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</si>
  <si>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</si>
  <si>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</si>
  <si>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</si>
  <si>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</si>
  <si>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</si>
  <si>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</si>
  <si>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</si>
  <si>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</si>
  <si>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</si>
  <si>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</si>
  <si>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</si>
  <si>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</si>
  <si>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</si>
  <si>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</si>
  <si>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</si>
  <si>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</si>
  <si>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</si>
  <si>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</si>
  <si>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</si>
  <si>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</si>
  <si>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</si>
  <si>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</si>
  <si>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</si>
  <si>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</si>
  <si>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</si>
  <si>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</si>
  <si>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</si>
  <si>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</si>
  <si>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</si>
  <si>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</si>
  <si>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</si>
  <si>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</si>
  <si>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</si>
  <si>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</si>
  <si>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</si>
  <si>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</si>
  <si>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</si>
  <si>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</si>
  <si>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</si>
  <si>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</si>
  <si>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</si>
  <si>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</si>
  <si>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</si>
  <si>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</si>
  <si>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</si>
  <si>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</si>
  <si>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</si>
  <si>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</si>
  <si>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</si>
  <si>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</si>
  <si>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</si>
  <si>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</si>
  <si>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</si>
  <si>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</si>
  <si>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</si>
  <si>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</si>
  <si>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</si>
  <si>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</si>
  <si>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</si>
  <si>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</si>
  <si>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</si>
  <si>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</si>
  <si>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</si>
  <si>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</si>
  <si>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</si>
  <si>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</si>
  <si>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</si>
  <si>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</si>
  <si>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</si>
  <si>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</si>
  <si>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</si>
  <si>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</si>
  <si>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</si>
  <si>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</si>
  <si>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</si>
  <si>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</si>
  <si>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</si>
  <si>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</si>
  <si>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</si>
  <si>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</si>
  <si>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</si>
  <si>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</si>
  <si>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</si>
  <si>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</si>
  <si>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</si>
  <si>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</si>
  <si>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</si>
  <si>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</si>
  <si>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</si>
  <si>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</si>
  <si>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</si>
  <si>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</si>
  <si>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</si>
  <si>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</si>
  <si>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</si>
  <si>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</si>
  <si>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</si>
  <si>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</si>
  <si>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</si>
  <si>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</si>
  <si>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</si>
  <si>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</si>
  <si>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</si>
  <si>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</si>
  <si>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</si>
  <si>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</si>
  <si>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</si>
  <si>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</si>
  <si>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</si>
  <si>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</si>
  <si>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</si>
  <si>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</si>
  <si>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</si>
  <si>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</si>
  <si>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</si>
  <si>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</si>
  <si>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</si>
  <si>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</si>
  <si>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</si>
  <si>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</si>
  <si>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</si>
  <si>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</si>
  <si>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</si>
  <si>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</si>
  <si>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</si>
  <si>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</si>
  <si>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</si>
  <si>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</si>
  <si>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</si>
  <si>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</si>
  <si>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</si>
  <si>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</si>
  <si>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</si>
  <si>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</si>
  <si>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</si>
  <si>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</si>
  <si>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</si>
  <si>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</si>
  <si>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</si>
  <si>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</si>
  <si>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</si>
  <si>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</si>
  <si>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</si>
  <si>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</si>
  <si>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</si>
  <si>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</si>
  <si>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</si>
  <si>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</si>
  <si>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</si>
  <si>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</si>
  <si>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</si>
  <si>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</si>
  <si>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</si>
  <si>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</si>
  <si>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</si>
  <si>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</si>
  <si>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</si>
  <si>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</si>
  <si>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</si>
  <si>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</si>
  <si>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</si>
  <si>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</si>
  <si>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</si>
  <si>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</si>
  <si>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</si>
  <si>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</si>
  <si>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</si>
  <si>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</si>
  <si>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</si>
  <si>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</si>
  <si>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</si>
  <si>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</si>
  <si>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</si>
  <si>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</si>
  <si>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</si>
  <si>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</si>
  <si>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</si>
  <si>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</si>
  <si>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</si>
  <si>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</si>
  <si>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</si>
  <si>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</si>
  <si>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</si>
  <si>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</si>
  <si>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</si>
  <si>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</si>
  <si>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</si>
  <si>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</si>
  <si>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</si>
  <si>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</si>
  <si>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</si>
  <si>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</si>
  <si>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</si>
  <si>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</si>
  <si>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</si>
  <si>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</si>
  <si>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</si>
  <si>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</si>
  <si>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</si>
  <si>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</si>
  <si>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</si>
  <si>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</si>
  <si>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</si>
  <si>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</si>
  <si>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</si>
  <si>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</si>
  <si>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</si>
  <si>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</si>
  <si>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</si>
  <si>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</si>
  <si>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</si>
  <si>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</si>
  <si>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</si>
  <si>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</si>
  <si>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</si>
  <si>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</si>
  <si>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</si>
  <si>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</si>
  <si>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</si>
  <si>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</si>
  <si>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</si>
  <si>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</si>
  <si>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</si>
  <si>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</si>
  <si>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</si>
  <si>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</si>
  <si>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</si>
  <si>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</si>
  <si>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</si>
  <si>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</si>
  <si>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</si>
  <si>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</si>
  <si>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</si>
  <si>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</si>
  <si>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</si>
  <si>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</si>
  <si>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</si>
  <si>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</si>
  <si>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</si>
  <si>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</si>
  <si>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</si>
  <si>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</si>
  <si>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</si>
  <si>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</si>
  <si>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</si>
  <si>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</si>
  <si>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</si>
  <si>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</si>
  <si>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</si>
  <si>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</si>
  <si>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</si>
  <si>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</si>
  <si>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</si>
  <si>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</si>
  <si>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</si>
  <si>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</si>
  <si>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</si>
  <si>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</si>
  <si>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</si>
  <si>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</si>
  <si>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</si>
  <si>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</si>
  <si>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</si>
  <si>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</si>
  <si>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</si>
  <si>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</si>
  <si>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</si>
  <si>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</si>
  <si>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</si>
  <si>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</si>
  <si>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</si>
  <si>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</si>
  <si>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</si>
  <si>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</si>
  <si>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</si>
  <si>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</si>
  <si>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</si>
  <si>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</si>
  <si>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</si>
  <si>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</si>
  <si>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</si>
  <si>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</si>
  <si>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</si>
  <si>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</si>
  <si>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</si>
  <si>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</si>
  <si>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</si>
  <si>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</si>
  <si>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</si>
  <si>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</si>
  <si>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</si>
  <si>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</si>
  <si>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</si>
  <si>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</si>
  <si>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</si>
  <si>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</si>
  <si>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</si>
  <si>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</si>
  <si>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STAKE LAND</t>
  </si>
  <si>
    <t>VAMPİR CEHENNEMİ</t>
  </si>
  <si>
    <t>Glass Eye Pix</t>
  </si>
  <si>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</si>
  <si>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</si>
  <si>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</si>
  <si>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</si>
  <si>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</si>
  <si>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</si>
  <si>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</si>
  <si>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</si>
  <si>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</si>
  <si>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</si>
  <si>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</si>
  <si>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</si>
  <si>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</si>
  <si>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</si>
  <si>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CAPTAN AMERICA: THE FIRST AVENGER</t>
  </si>
  <si>
    <t>Marvel Enterprise</t>
  </si>
  <si>
    <t>İLK YENİLMEZ: KAPTAN AMERİKA</t>
  </si>
  <si>
    <t>CONTAGION</t>
  </si>
  <si>
    <t>SALGIN</t>
  </si>
  <si>
    <t>-</t>
  </si>
  <si>
    <t>Lumiq Studios</t>
  </si>
  <si>
    <t>SAFTİRİK GREG'İN GÜNLÜĞÜ: RODRICK KURALLARI</t>
  </si>
  <si>
    <t>KARANLIK SAAT</t>
  </si>
  <si>
    <t>KAR BEYAZ</t>
  </si>
  <si>
    <t>RIO</t>
  </si>
  <si>
    <t>PLANET 51</t>
  </si>
  <si>
    <t>SAÇ</t>
  </si>
  <si>
    <t>ALVIN &amp; THE CHIPMUNKS 2</t>
  </si>
  <si>
    <t>OPEN SEASON 2</t>
  </si>
  <si>
    <t>BİZİM BÜYÜK ÇARESİZLİĞİMİZ</t>
  </si>
  <si>
    <t>SOMEWHERE</t>
  </si>
  <si>
    <t>ÇILGIN DOSTLAR 2</t>
  </si>
  <si>
    <t>Sony Pictures</t>
  </si>
  <si>
    <t>BAŞKA BİR YERDE</t>
  </si>
  <si>
    <t>ALVİN VE SİNCAPLAR 2</t>
  </si>
  <si>
    <t>GEZEGEN 51</t>
  </si>
  <si>
    <t>AŞIRICILAR</t>
  </si>
  <si>
    <t>Ağustos</t>
  </si>
  <si>
    <t>Ilion Animation</t>
  </si>
  <si>
    <t>Zuzi Film</t>
  </si>
  <si>
    <t>Bulut Film</t>
  </si>
  <si>
    <t>İKİ KADIN BİR ERKEK</t>
  </si>
  <si>
    <t>THE KIDS ARE ALL RIGHT</t>
  </si>
  <si>
    <t>Studio Gibli</t>
  </si>
  <si>
    <t>KARI-GURASHI NO ARIETTI - THE BORROWERS</t>
  </si>
  <si>
    <t>Mandalay</t>
  </si>
  <si>
    <t>Focus</t>
  </si>
  <si>
    <r>
      <t xml:space="preserve">DAĞITIMCI ŞİRKETLER PERFORMANS LİGİ - </t>
    </r>
    <r>
      <rPr>
        <b/>
        <sz val="12"/>
        <color indexed="10"/>
        <rFont val="Arial"/>
        <family val="2"/>
      </rPr>
      <t>2. HAFTA (KAPANIŞ) 06 - 12.01.2012</t>
    </r>
  </si>
  <si>
    <t>CHANTIER FILMS</t>
  </si>
  <si>
    <t>73</t>
  </si>
  <si>
    <t>46</t>
  </si>
  <si>
    <t>EYYVAH EYVAH 2</t>
  </si>
  <si>
    <r>
      <t xml:space="preserve">TÜRKİYE'S </t>
    </r>
    <r>
      <rPr>
        <b/>
        <u val="single"/>
        <sz val="40"/>
        <rFont val="Calibri"/>
        <family val="2"/>
      </rPr>
      <t>WEEKEND</t>
    </r>
    <r>
      <rPr>
        <b/>
        <sz val="40"/>
        <rFont val="Calibri"/>
        <family val="2"/>
      </rPr>
      <t xml:space="preserve"> MARKET DATA</t>
    </r>
  </si>
  <si>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</si>
  <si>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</si>
  <si>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</si>
  <si>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</si>
  <si>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</si>
  <si>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</si>
  <si>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</si>
  <si>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</si>
  <si>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</si>
  <si>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</si>
  <si>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</si>
  <si>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</si>
  <si>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</si>
  <si>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</si>
  <si>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</si>
  <si>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</si>
  <si>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</si>
  <si>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</si>
  <si>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</si>
  <si>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</si>
  <si>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</si>
  <si>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</si>
  <si>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</si>
  <si>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</si>
  <si>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r>
      <t xml:space="preserve">Week/ </t>
    </r>
    <r>
      <rPr>
        <b/>
        <sz val="20"/>
        <color indexed="9"/>
        <rFont val="Candara"/>
        <family val="2"/>
      </rPr>
      <t>03</t>
    </r>
    <r>
      <rPr>
        <b/>
        <sz val="20"/>
        <rFont val="Candara"/>
        <family val="2"/>
      </rPr>
      <t xml:space="preserve"> / Hafta: </t>
    </r>
    <r>
      <rPr>
        <b/>
        <u val="single"/>
        <sz val="20"/>
        <rFont val="Candara"/>
        <family val="2"/>
      </rPr>
      <t>13-19.01.2012</t>
    </r>
  </si>
  <si>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</si>
  <si>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</si>
  <si>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</si>
  <si>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</si>
  <si>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</si>
  <si>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</si>
  <si>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</si>
  <si>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</si>
  <si>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4</t>
    </r>
    <r>
      <rPr>
        <b/>
        <sz val="12"/>
        <color indexed="10"/>
        <rFont val="Arial"/>
        <family val="2"/>
      </rPr>
      <t>. HAFTA (AÇILIŞ) 20.01.2012</t>
    </r>
  </si>
  <si>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</si>
  <si>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</si>
  <si>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</si>
  <si>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</si>
  <si>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</si>
  <si>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</si>
  <si>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</si>
  <si>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</si>
  <si>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</si>
  <si>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</si>
  <si>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</si>
  <si>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</si>
  <si>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</si>
  <si>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</si>
  <si>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</si>
  <si>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</si>
  <si>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</si>
  <si>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</si>
  <si>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</si>
  <si>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r>
      <t xml:space="preserve">Weekend / </t>
    </r>
    <r>
      <rPr>
        <b/>
        <sz val="30"/>
        <color indexed="9"/>
        <rFont val="Candara"/>
        <family val="2"/>
      </rPr>
      <t xml:space="preserve">04 </t>
    </r>
    <r>
      <rPr>
        <b/>
        <sz val="30"/>
        <rFont val="Candara"/>
        <family val="2"/>
      </rPr>
      <t xml:space="preserve">/ Hafta: </t>
    </r>
    <r>
      <rPr>
        <b/>
        <u val="single"/>
        <sz val="30"/>
        <rFont val="Candara"/>
        <family val="2"/>
      </rPr>
      <t>20-22.01.2012</t>
    </r>
  </si>
  <si>
    <r>
      <t xml:space="preserve">Weekend / </t>
    </r>
    <r>
      <rPr>
        <b/>
        <sz val="20"/>
        <color indexed="9"/>
        <rFont val="Candara"/>
        <family val="2"/>
      </rPr>
      <t>04</t>
    </r>
    <r>
      <rPr>
        <b/>
        <sz val="20"/>
        <rFont val="Candara"/>
        <family val="2"/>
      </rPr>
      <t xml:space="preserve"> / Haftasonu: </t>
    </r>
    <r>
      <rPr>
        <b/>
        <u val="single"/>
        <sz val="20"/>
        <rFont val="Candara"/>
        <family val="2"/>
      </rPr>
      <t>20-22.01.2012</t>
    </r>
  </si>
  <si>
    <t>TRANSFORMERS 3: DARK OF THE MOON</t>
  </si>
  <si>
    <t>İÇİMDEKİ ŞEYTAN</t>
  </si>
  <si>
    <t>WEE BOUGHT A ZOO</t>
  </si>
  <si>
    <t>DÜŞLER BAHÇESİ</t>
  </si>
  <si>
    <t>TRANSFORMERS: AY'IN KARANLIK YÜZÜ</t>
  </si>
  <si>
    <t>HAPPY FEET TWO</t>
  </si>
  <si>
    <t>NEŞELİ AYAKLAR 2</t>
  </si>
  <si>
    <t>Animal Logic</t>
  </si>
  <si>
    <t>THE DEVIL INSIDE</t>
  </si>
  <si>
    <r>
      <t xml:space="preserve">2012'DE GÖSTERİLEN TÜRKİYE YAPIMI FİLMLERİN HAFTALIK HASILAT VE BİLET PERFORMANSLARI </t>
    </r>
    <r>
      <rPr>
        <b/>
        <sz val="10"/>
        <color indexed="10"/>
        <rFont val="Arial"/>
        <family val="2"/>
      </rPr>
      <t>30.12.2011 - 19.01.2012</t>
    </r>
  </si>
  <si>
    <r>
      <t xml:space="preserve">2012'NİN YENİ VİZYONLARI GENEL SIRALAMA </t>
    </r>
    <r>
      <rPr>
        <b/>
        <sz val="11"/>
        <color indexed="10"/>
        <rFont val="Calibri"/>
        <family val="2"/>
      </rPr>
      <t>30.12.2011 - 19.01.2012</t>
    </r>
  </si>
  <si>
    <r>
      <t xml:space="preserve">2012'S EX YEARS RELASES - 2012'DE GÖSTERİLEN ÖNCEKİ YILLARIN VİZYON FİLMLERİ </t>
    </r>
    <r>
      <rPr>
        <b/>
        <sz val="11"/>
        <color indexed="10"/>
        <rFont val="Calibri"/>
        <family val="2"/>
      </rPr>
      <t>30.12.2011 - 19.01.2012</t>
    </r>
  </si>
</sst>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196">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8"/>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11"/>
      <name val="Calibri"/>
      <family val="2"/>
    </font>
    <font>
      <b/>
      <sz val="8"/>
      <color indexed="9"/>
      <name val="Calibri"/>
      <family val="2"/>
    </font>
    <font>
      <b/>
      <sz val="10"/>
      <color indexed="9"/>
      <name val="Trebuchet MS"/>
      <family val="2"/>
    </font>
    <font>
      <b/>
      <sz val="10"/>
      <color indexed="9"/>
      <name val="Calibri"/>
      <family val="2"/>
    </font>
    <font>
      <sz val="10"/>
      <color indexed="10"/>
      <name val="Calibri"/>
      <family val="2"/>
    </font>
    <font>
      <b/>
      <sz val="12"/>
      <color indexed="19"/>
      <name val="Calibri"/>
      <family val="2"/>
    </font>
    <font>
      <b/>
      <sz val="12"/>
      <color indexed="54"/>
      <name val="Calibri"/>
      <family val="2"/>
    </font>
    <font>
      <b/>
      <sz val="12"/>
      <color indexed="8"/>
      <name val="Calibri"/>
      <family val="2"/>
    </font>
    <font>
      <b/>
      <sz val="12"/>
      <color indexed="9"/>
      <name val="Calibri"/>
      <family val="2"/>
    </font>
    <font>
      <b/>
      <sz val="50"/>
      <color indexed="49"/>
      <name val="Arial Black"/>
      <family val="2"/>
    </font>
    <font>
      <sz val="50"/>
      <color indexed="49"/>
      <name val="Arial"/>
      <family val="2"/>
    </font>
    <font>
      <b/>
      <sz val="14"/>
      <color indexed="10"/>
      <name val="Calibri"/>
      <family val="2"/>
    </font>
    <font>
      <b/>
      <sz val="10"/>
      <color indexed="10"/>
      <name val="Arial"/>
      <family val="2"/>
    </font>
    <font>
      <b/>
      <sz val="14"/>
      <color indexed="30"/>
      <name val="Calibri"/>
      <family val="2"/>
    </font>
    <font>
      <b/>
      <sz val="10"/>
      <color indexed="30"/>
      <name val="Arial"/>
      <family val="2"/>
    </font>
    <font>
      <b/>
      <sz val="12"/>
      <color indexed="23"/>
      <name val="Arial"/>
      <family val="2"/>
    </font>
    <font>
      <sz val="12"/>
      <color indexed="23"/>
      <name val="Arial"/>
      <family val="2"/>
    </font>
    <font>
      <b/>
      <sz val="8"/>
      <color indexed="8"/>
      <name val="Calibri"/>
      <family val="2"/>
    </font>
    <font>
      <b/>
      <sz val="12"/>
      <color indexed="10"/>
      <name val="Calibri"/>
      <family val="2"/>
    </font>
    <font>
      <sz val="8"/>
      <color indexed="8"/>
      <name val="Calibri"/>
      <family val="2"/>
    </font>
    <font>
      <sz val="10"/>
      <color indexed="8"/>
      <name val="Calibri"/>
      <family val="2"/>
    </font>
    <font>
      <b/>
      <sz val="11"/>
      <color indexed="10"/>
      <name val="Calibri"/>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cidSansRegular"/>
      <family val="0"/>
    </font>
    <font>
      <b/>
      <sz val="16"/>
      <color indexed="8"/>
      <name val="Arial"/>
      <family val="2"/>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8"/>
      <color indexed="9"/>
      <name val="Calibri"/>
      <family val="2"/>
    </font>
    <font>
      <sz val="8"/>
      <name val="Calibri"/>
      <family val="2"/>
    </font>
    <font>
      <sz val="10"/>
      <color indexed="9"/>
      <name val="Calibri"/>
      <family val="2"/>
    </font>
    <font>
      <sz val="10"/>
      <color indexed="9"/>
      <name val="Trebuchet MS"/>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Trebuchet MS"/>
      <family val="2"/>
    </font>
    <font>
      <b/>
      <sz val="10"/>
      <color theme="0"/>
      <name val="Calibri"/>
      <family val="2"/>
    </font>
    <font>
      <b/>
      <sz val="12"/>
      <color theme="5"/>
      <name val="Calibri"/>
      <family val="2"/>
    </font>
    <font>
      <b/>
      <sz val="12"/>
      <color theme="7" tint="-0.24997000396251678"/>
      <name val="Calibri"/>
      <family val="2"/>
    </font>
    <font>
      <b/>
      <sz val="12"/>
      <color theme="1"/>
      <name val="Calibri"/>
      <family val="2"/>
    </font>
    <font>
      <b/>
      <sz val="8"/>
      <color theme="1"/>
      <name val="Calibri"/>
      <family val="2"/>
    </font>
    <font>
      <b/>
      <sz val="12"/>
      <color rgb="FFFF0000"/>
      <name val="Calibri"/>
      <family val="2"/>
    </font>
    <font>
      <sz val="8"/>
      <color theme="1"/>
      <name val="Calibri"/>
      <family val="2"/>
    </font>
    <font>
      <sz val="10"/>
      <color theme="1"/>
      <name val="Calibri"/>
      <family val="2"/>
    </font>
    <font>
      <b/>
      <sz val="11"/>
      <color rgb="FFFF0000"/>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
      <sz val="8"/>
      <color theme="0"/>
      <name val="Calibri"/>
      <family val="2"/>
    </font>
    <font>
      <sz val="10"/>
      <color theme="0"/>
      <name val="Calibri"/>
      <family val="2"/>
    </font>
    <font>
      <sz val="10"/>
      <color rgb="FFFF0000"/>
      <name val="Calibri"/>
      <family val="2"/>
    </font>
    <font>
      <sz val="10"/>
      <color theme="0"/>
      <name val="Trebuchet MS"/>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4999699890613556"/>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indexed="1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indexed="17"/>
        <bgColor indexed="64"/>
      </patternFill>
    </fill>
    <fill>
      <patternFill patternType="solid">
        <fgColor rgb="FFFFC000"/>
        <bgColor indexed="64"/>
      </patternFill>
    </fill>
    <fill>
      <patternFill patternType="solid">
        <fgColor rgb="FF002060"/>
        <bgColor indexed="64"/>
      </patternFill>
    </fill>
    <fill>
      <patternFill patternType="solid">
        <fgColor theme="1"/>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theme="3" tint="0.5999900102615356"/>
        <bgColor indexed="64"/>
      </patternFill>
    </fill>
    <fill>
      <patternFill patternType="solid">
        <fgColor theme="2" tint="-0.7499799728393555"/>
        <bgColor indexed="64"/>
      </patternFill>
    </fill>
    <fill>
      <patternFill patternType="solid">
        <fgColor theme="3"/>
        <bgColor indexed="64"/>
      </patternFill>
    </fill>
  </fills>
  <borders count="7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hair"/>
      <right style="hair"/>
      <top style="medium"/>
      <bottom style="hair"/>
    </border>
    <border>
      <left style="hair"/>
      <right style="hair"/>
      <top style="hair"/>
      <bottom style="hair"/>
    </border>
    <border>
      <left style="hair"/>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hair"/>
      <top style="hair"/>
      <bottom style="hair"/>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hair"/>
    </border>
    <border>
      <left>
        <color indexed="63"/>
      </left>
      <right style="medium"/>
      <top>
        <color indexed="63"/>
      </top>
      <bottom style="medium"/>
    </border>
    <border>
      <left style="hair"/>
      <right style="hair"/>
      <top>
        <color indexed="63"/>
      </top>
      <bottom style="hair"/>
    </border>
    <border>
      <left style="medium"/>
      <right style="hair"/>
      <top style="hair"/>
      <bottom style="medium"/>
    </border>
    <border>
      <left style="medium"/>
      <right style="hair"/>
      <top style="medium"/>
      <bottom style="hair"/>
    </border>
    <border>
      <left style="hair"/>
      <right style="hair"/>
      <top>
        <color indexed="63"/>
      </top>
      <bottom style="medium"/>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150" fillId="19" borderId="0" applyNumberFormat="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1" applyNumberFormat="0" applyFill="0" applyAlignment="0" applyProtection="0"/>
    <xf numFmtId="0" fontId="154" fillId="0" borderId="2" applyNumberFormat="0" applyFill="0" applyAlignment="0" applyProtection="0"/>
    <xf numFmtId="0" fontId="155" fillId="0" borderId="3" applyNumberFormat="0" applyFill="0" applyAlignment="0" applyProtection="0"/>
    <xf numFmtId="0" fontId="156" fillId="0" borderId="4" applyNumberFormat="0" applyFill="0" applyAlignment="0" applyProtection="0"/>
    <xf numFmtId="0" fontId="1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7" fillId="20" borderId="5" applyNumberFormat="0" applyAlignment="0" applyProtection="0"/>
    <xf numFmtId="0" fontId="158" fillId="21" borderId="6" applyNumberFormat="0" applyAlignment="0" applyProtection="0"/>
    <xf numFmtId="0" fontId="159" fillId="20" borderId="6" applyNumberFormat="0" applyAlignment="0" applyProtection="0"/>
    <xf numFmtId="0" fontId="160" fillId="22" borderId="7" applyNumberFormat="0" applyAlignment="0" applyProtection="0"/>
    <xf numFmtId="0" fontId="16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4" fillId="0" borderId="9" applyNumberFormat="0" applyFill="0" applyAlignment="0" applyProtection="0"/>
    <xf numFmtId="0" fontId="165" fillId="0" borderId="0" applyNumberFormat="0" applyFill="0" applyBorder="0" applyAlignment="0" applyProtection="0"/>
    <xf numFmtId="0" fontId="150" fillId="27" borderId="0" applyNumberFormat="0" applyBorder="0" applyAlignment="0" applyProtection="0"/>
    <xf numFmtId="0" fontId="150" fillId="28" borderId="0" applyNumberFormat="0" applyBorder="0" applyAlignment="0" applyProtection="0"/>
    <xf numFmtId="0" fontId="150" fillId="29" borderId="0" applyNumberFormat="0" applyBorder="0" applyAlignment="0" applyProtection="0"/>
    <xf numFmtId="0" fontId="150" fillId="30" borderId="0" applyNumberFormat="0" applyBorder="0" applyAlignment="0" applyProtection="0"/>
    <xf numFmtId="0" fontId="150" fillId="31" borderId="0" applyNumberFormat="0" applyBorder="0" applyAlignment="0" applyProtection="0"/>
    <xf numFmtId="0" fontId="15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776">
    <xf numFmtId="0" fontId="0" fillId="0" borderId="0" xfId="0" applyAlignment="1">
      <alignment/>
    </xf>
    <xf numFmtId="0" fontId="16"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43" fontId="16" fillId="33" borderId="12" xfId="4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wrapText="1"/>
      <protection/>
    </xf>
    <xf numFmtId="4" fontId="23" fillId="33" borderId="0" xfId="0" applyNumberFormat="1" applyFont="1" applyFill="1" applyBorder="1" applyAlignment="1" applyProtection="1">
      <alignment horizontal="center" vertical="center" wrapText="1"/>
      <protection/>
    </xf>
    <xf numFmtId="3" fontId="23" fillId="33" borderId="0" xfId="0" applyNumberFormat="1" applyFont="1" applyFill="1" applyBorder="1" applyAlignment="1" applyProtection="1">
      <alignment horizontal="center" vertical="center" wrapText="1"/>
      <protection/>
    </xf>
    <xf numFmtId="192" fontId="23"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wrapText="1"/>
      <protection/>
    </xf>
    <xf numFmtId="1" fontId="16" fillId="33" borderId="14" xfId="0" applyNumberFormat="1" applyFont="1" applyFill="1" applyBorder="1" applyAlignment="1" applyProtection="1">
      <alignment horizontal="center" vertical="center" wrapText="1"/>
      <protection/>
    </xf>
    <xf numFmtId="1" fontId="16"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5" fillId="33" borderId="0" xfId="0" applyNumberFormat="1" applyFont="1" applyFill="1" applyBorder="1" applyAlignment="1" applyProtection="1">
      <alignment horizontal="right" vertical="center"/>
      <protection/>
    </xf>
    <xf numFmtId="3" fontId="35" fillId="33" borderId="0" xfId="0" applyNumberFormat="1" applyFont="1" applyFill="1" applyBorder="1" applyAlignment="1" applyProtection="1">
      <alignment horizontal="right" vertical="center"/>
      <protection/>
    </xf>
    <xf numFmtId="0" fontId="17" fillId="34" borderId="16"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protection/>
    </xf>
    <xf numFmtId="190" fontId="16" fillId="34" borderId="10" xfId="0" applyNumberFormat="1" applyFont="1" applyFill="1" applyBorder="1" applyAlignment="1" applyProtection="1">
      <alignment horizontal="center"/>
      <protection/>
    </xf>
    <xf numFmtId="4" fontId="16" fillId="34" borderId="10" xfId="0" applyNumberFormat="1"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43" fontId="16" fillId="34" borderId="12" xfId="40" applyFont="1" applyFill="1" applyBorder="1" applyAlignment="1" applyProtection="1">
      <alignment horizontal="center"/>
      <protection/>
    </xf>
    <xf numFmtId="190" fontId="16" fillId="34" borderId="12" xfId="0" applyNumberFormat="1" applyFont="1" applyFill="1" applyBorder="1" applyAlignment="1" applyProtection="1">
      <alignment horizontal="center"/>
      <protection/>
    </xf>
    <xf numFmtId="0" fontId="16" fillId="34" borderId="12" xfId="0" applyFont="1" applyFill="1" applyBorder="1" applyAlignment="1" applyProtection="1">
      <alignment horizontal="center"/>
      <protection/>
    </xf>
    <xf numFmtId="4" fontId="16" fillId="34" borderId="12" xfId="0" applyNumberFormat="1" applyFont="1" applyFill="1" applyBorder="1" applyAlignment="1" applyProtection="1">
      <alignment horizontal="center" vertical="center" wrapText="1"/>
      <protection/>
    </xf>
    <xf numFmtId="3" fontId="16" fillId="34" borderId="12" xfId="0" applyNumberFormat="1" applyFont="1" applyFill="1" applyBorder="1" applyAlignment="1" applyProtection="1">
      <alignment horizontal="center" vertical="center" wrapText="1"/>
      <protection/>
    </xf>
    <xf numFmtId="192" fontId="16" fillId="34" borderId="12" xfId="0" applyNumberFormat="1" applyFont="1" applyFill="1" applyBorder="1" applyAlignment="1" applyProtection="1">
      <alignment horizontal="center" vertical="center" wrapText="1"/>
      <protection/>
    </xf>
    <xf numFmtId="4" fontId="21" fillId="34" borderId="12" xfId="0" applyNumberFormat="1" applyFont="1" applyFill="1" applyBorder="1" applyAlignment="1" applyProtection="1">
      <alignment horizontal="center" vertical="center" wrapText="1"/>
      <protection/>
    </xf>
    <xf numFmtId="3" fontId="21" fillId="34" borderId="12"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43" fontId="16"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2" fillId="7" borderId="19" xfId="0" applyFont="1" applyFill="1" applyBorder="1" applyAlignment="1">
      <alignment vertical="center"/>
    </xf>
    <xf numFmtId="0" fontId="12" fillId="7"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0" fontId="12" fillId="7" borderId="20" xfId="0" applyNumberFormat="1" applyFont="1" applyFill="1" applyBorder="1" applyAlignment="1" applyProtection="1">
      <alignment vertical="center"/>
      <protection/>
    </xf>
    <xf numFmtId="0" fontId="12" fillId="7" borderId="20" xfId="0"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7" borderId="21" xfId="0" applyFont="1" applyFill="1" applyBorder="1" applyAlignment="1">
      <alignment vertical="center"/>
    </xf>
    <xf numFmtId="0" fontId="12" fillId="7" borderId="21" xfId="0" applyNumberFormat="1" applyFont="1" applyFill="1" applyBorder="1" applyAlignment="1" applyProtection="1">
      <alignment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 fontId="53" fillId="33" borderId="0" xfId="0" applyNumberFormat="1" applyFont="1" applyFill="1" applyBorder="1" applyAlignment="1" applyProtection="1">
      <alignment horizontal="right" vertical="center"/>
      <protection/>
    </xf>
    <xf numFmtId="4" fontId="53" fillId="33" borderId="0" xfId="0" applyNumberFormat="1" applyFont="1" applyFill="1" applyBorder="1" applyAlignment="1" applyProtection="1">
      <alignment horizontal="center" vertical="center"/>
      <protection/>
    </xf>
    <xf numFmtId="3" fontId="53" fillId="33" borderId="0" xfId="0" applyNumberFormat="1"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6" fillId="33" borderId="22" xfId="0" applyFont="1" applyFill="1" applyBorder="1" applyAlignment="1" applyProtection="1">
      <alignment horizontal="center"/>
      <protection/>
    </xf>
    <xf numFmtId="0" fontId="16" fillId="34" borderId="23" xfId="0" applyFont="1" applyFill="1" applyBorder="1" applyAlignment="1" applyProtection="1">
      <alignment horizontal="center"/>
      <protection/>
    </xf>
    <xf numFmtId="190" fontId="16" fillId="34" borderId="23" xfId="0" applyNumberFormat="1" applyFont="1" applyFill="1" applyBorder="1" applyAlignment="1" applyProtection="1">
      <alignment horizontal="center"/>
      <protection/>
    </xf>
    <xf numFmtId="0" fontId="16" fillId="35" borderId="23" xfId="0" applyFont="1" applyFill="1" applyBorder="1" applyAlignment="1" applyProtection="1">
      <alignment horizontal="center"/>
      <protection/>
    </xf>
    <xf numFmtId="4" fontId="16" fillId="35" borderId="23" xfId="0" applyNumberFormat="1" applyFont="1" applyFill="1" applyBorder="1" applyAlignment="1" applyProtection="1">
      <alignment horizontal="center"/>
      <protection/>
    </xf>
    <xf numFmtId="3" fontId="16" fillId="35" borderId="23" xfId="0" applyNumberFormat="1" applyFont="1" applyFill="1" applyBorder="1" applyAlignment="1" applyProtection="1">
      <alignment horizontal="center"/>
      <protection/>
    </xf>
    <xf numFmtId="4" fontId="21" fillId="35" borderId="23" xfId="0" applyNumberFormat="1" applyFont="1" applyFill="1" applyBorder="1" applyAlignment="1" applyProtection="1">
      <alignment horizontal="center"/>
      <protection/>
    </xf>
    <xf numFmtId="3" fontId="21" fillId="35" borderId="23" xfId="0" applyNumberFormat="1" applyFont="1" applyFill="1" applyBorder="1" applyAlignment="1" applyProtection="1">
      <alignment horizontal="center"/>
      <protection/>
    </xf>
    <xf numFmtId="4" fontId="16" fillId="35" borderId="23" xfId="0" applyNumberFormat="1" applyFont="1" applyFill="1" applyBorder="1" applyAlignment="1" applyProtection="1">
      <alignment horizontal="center" vertical="center" wrapText="1"/>
      <protection/>
    </xf>
    <xf numFmtId="0" fontId="16" fillId="34" borderId="24"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protection/>
    </xf>
    <xf numFmtId="4" fontId="46" fillId="8" borderId="19" xfId="0" applyNumberFormat="1" applyFont="1" applyFill="1" applyBorder="1" applyAlignment="1">
      <alignment vertical="center"/>
    </xf>
    <xf numFmtId="4" fontId="46" fillId="8" borderId="20" xfId="0" applyNumberFormat="1" applyFont="1" applyFill="1" applyBorder="1" applyAlignment="1">
      <alignment vertical="center"/>
    </xf>
    <xf numFmtId="4" fontId="46"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6" fillId="33" borderId="23" xfId="0" applyFont="1" applyFill="1" applyBorder="1" applyAlignment="1" applyProtection="1">
      <alignment horizontal="center"/>
      <protection/>
    </xf>
    <xf numFmtId="0" fontId="16" fillId="0" borderId="23" xfId="0" applyFont="1" applyFill="1" applyBorder="1" applyAlignment="1" applyProtection="1">
      <alignment horizontal="center"/>
      <protection/>
    </xf>
    <xf numFmtId="0" fontId="18" fillId="34" borderId="25" xfId="0" applyFont="1" applyFill="1" applyBorder="1" applyAlignment="1" applyProtection="1">
      <alignment vertical="center"/>
      <protection/>
    </xf>
    <xf numFmtId="0" fontId="18" fillId="34" borderId="26" xfId="0" applyFont="1" applyFill="1" applyBorder="1" applyAlignment="1" applyProtection="1">
      <alignment vertical="center"/>
      <protection/>
    </xf>
    <xf numFmtId="0" fontId="18" fillId="34" borderId="27" xfId="0" applyFont="1" applyFill="1" applyBorder="1" applyAlignment="1" applyProtection="1">
      <alignment vertical="center"/>
      <protection/>
    </xf>
    <xf numFmtId="43" fontId="16" fillId="33" borderId="28" xfId="40" applyFont="1" applyFill="1" applyBorder="1" applyAlignment="1" applyProtection="1">
      <alignment horizontal="center"/>
      <protection/>
    </xf>
    <xf numFmtId="43" fontId="16" fillId="0" borderId="28" xfId="40" applyFont="1" applyFill="1" applyBorder="1" applyAlignment="1" applyProtection="1">
      <alignment horizontal="center"/>
      <protection/>
    </xf>
    <xf numFmtId="0" fontId="16" fillId="33" borderId="28" xfId="0" applyFont="1" applyFill="1" applyBorder="1" applyAlignment="1" applyProtection="1">
      <alignment horizontal="center" vertical="center" wrapText="1"/>
      <protection/>
    </xf>
    <xf numFmtId="3" fontId="46" fillId="8" borderId="29" xfId="0" applyNumberFormat="1" applyFont="1" applyFill="1" applyBorder="1" applyAlignment="1">
      <alignment vertical="center"/>
    </xf>
    <xf numFmtId="3" fontId="46" fillId="8" borderId="30" xfId="0" applyNumberFormat="1" applyFont="1" applyFill="1" applyBorder="1" applyAlignment="1">
      <alignment vertical="center"/>
    </xf>
    <xf numFmtId="3" fontId="46" fillId="8" borderId="31"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6" fillId="34" borderId="32" xfId="0" applyNumberFormat="1" applyFont="1" applyFill="1" applyBorder="1" applyAlignment="1" applyProtection="1">
      <alignment horizontal="center" vertical="center" wrapText="1"/>
      <protection/>
    </xf>
    <xf numFmtId="4" fontId="16" fillId="34" borderId="33" xfId="0" applyNumberFormat="1" applyFont="1" applyFill="1" applyBorder="1" applyAlignment="1" applyProtection="1">
      <alignment horizontal="center" vertical="center" wrapText="1"/>
      <protection/>
    </xf>
    <xf numFmtId="4" fontId="16" fillId="35" borderId="34" xfId="0" applyNumberFormat="1" applyFont="1" applyFill="1" applyBorder="1" applyAlignment="1" applyProtection="1">
      <alignment horizontal="center" vertical="center" wrapText="1"/>
      <protection/>
    </xf>
    <xf numFmtId="43" fontId="16" fillId="34" borderId="28" xfId="40" applyFont="1" applyFill="1" applyBorder="1" applyAlignment="1" applyProtection="1">
      <alignment horizontal="center"/>
      <protection/>
    </xf>
    <xf numFmtId="190" fontId="16" fillId="34" borderId="28" xfId="0" applyNumberFormat="1"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19" borderId="28" xfId="0" applyFont="1" applyFill="1" applyBorder="1" applyAlignment="1" applyProtection="1">
      <alignment horizontal="center"/>
      <protection/>
    </xf>
    <xf numFmtId="4" fontId="16" fillId="19" borderId="28" xfId="0" applyNumberFormat="1" applyFont="1" applyFill="1" applyBorder="1" applyAlignment="1" applyProtection="1">
      <alignment horizontal="center" vertical="center" wrapText="1"/>
      <protection/>
    </xf>
    <xf numFmtId="3" fontId="16" fillId="19" borderId="28" xfId="0" applyNumberFormat="1" applyFont="1" applyFill="1" applyBorder="1" applyAlignment="1" applyProtection="1">
      <alignment horizontal="center" vertical="center" wrapText="1"/>
      <protection/>
    </xf>
    <xf numFmtId="4" fontId="16" fillId="35" borderId="28" xfId="0" applyNumberFormat="1" applyFont="1" applyFill="1" applyBorder="1" applyAlignment="1" applyProtection="1">
      <alignment horizontal="center" vertical="center" wrapText="1"/>
      <protection/>
    </xf>
    <xf numFmtId="3" fontId="16" fillId="35" borderId="28" xfId="0" applyNumberFormat="1" applyFont="1" applyFill="1" applyBorder="1" applyAlignment="1" applyProtection="1">
      <alignment horizontal="center" vertical="center" wrapText="1"/>
      <protection/>
    </xf>
    <xf numFmtId="192" fontId="16" fillId="35" borderId="28" xfId="0" applyNumberFormat="1" applyFont="1" applyFill="1" applyBorder="1" applyAlignment="1" applyProtection="1">
      <alignment horizontal="center" vertical="center" wrapText="1"/>
      <protection/>
    </xf>
    <xf numFmtId="4" fontId="21" fillId="37" borderId="28" xfId="0" applyNumberFormat="1" applyFont="1" applyFill="1" applyBorder="1" applyAlignment="1" applyProtection="1">
      <alignment horizontal="center" vertical="center" wrapText="1"/>
      <protection/>
    </xf>
    <xf numFmtId="3" fontId="21" fillId="37" borderId="28" xfId="0" applyNumberFormat="1" applyFont="1" applyFill="1" applyBorder="1" applyAlignment="1" applyProtection="1">
      <alignment horizontal="center" vertical="center" wrapText="1"/>
      <protection/>
    </xf>
    <xf numFmtId="4" fontId="16" fillId="37" borderId="28" xfId="0" applyNumberFormat="1" applyFont="1" applyFill="1" applyBorder="1" applyAlignment="1" applyProtection="1">
      <alignment horizontal="center" vertical="center" wrapText="1"/>
      <protection/>
    </xf>
    <xf numFmtId="3" fontId="16" fillId="37" borderId="28" xfId="0" applyNumberFormat="1" applyFont="1" applyFill="1" applyBorder="1" applyAlignment="1" applyProtection="1">
      <alignment horizontal="center" vertical="center" wrapText="1"/>
      <protection/>
    </xf>
    <xf numFmtId="4" fontId="16" fillId="35" borderId="35" xfId="0" applyNumberFormat="1" applyFont="1" applyFill="1" applyBorder="1" applyAlignment="1" applyProtection="1">
      <alignment horizontal="center" vertical="center" wrapText="1"/>
      <protection/>
    </xf>
    <xf numFmtId="0" fontId="16" fillId="34" borderId="36" xfId="0" applyFont="1" applyFill="1" applyBorder="1" applyAlignment="1" applyProtection="1">
      <alignment horizontal="center"/>
      <protection/>
    </xf>
    <xf numFmtId="0" fontId="18" fillId="35" borderId="37" xfId="0" applyFont="1" applyFill="1" applyBorder="1" applyAlignment="1" applyProtection="1">
      <alignment vertical="center"/>
      <protection/>
    </xf>
    <xf numFmtId="204" fontId="46" fillId="7" borderId="38" xfId="0" applyNumberFormat="1" applyFont="1" applyFill="1" applyBorder="1" applyAlignment="1">
      <alignment vertical="center"/>
    </xf>
    <xf numFmtId="0" fontId="46" fillId="7" borderId="38" xfId="0" applyFont="1" applyFill="1" applyBorder="1" applyAlignment="1" applyProtection="1">
      <alignment vertical="center"/>
      <protection locked="0"/>
    </xf>
    <xf numFmtId="0" fontId="46" fillId="7" borderId="38" xfId="0" applyNumberFormat="1" applyFont="1" applyFill="1" applyBorder="1" applyAlignment="1">
      <alignment vertical="center"/>
    </xf>
    <xf numFmtId="0" fontId="90" fillId="0" borderId="0" xfId="0" applyFont="1" applyAlignment="1">
      <alignment horizontal="center"/>
    </xf>
    <xf numFmtId="0" fontId="90" fillId="0" borderId="0" xfId="0" applyFont="1" applyAlignment="1">
      <alignment horizontal="right"/>
    </xf>
    <xf numFmtId="190" fontId="90" fillId="0" borderId="0" xfId="0" applyNumberFormat="1" applyFont="1" applyAlignment="1">
      <alignment horizontal="right"/>
    </xf>
    <xf numFmtId="49" fontId="90" fillId="0" borderId="0" xfId="0" applyNumberFormat="1" applyFont="1" applyAlignment="1">
      <alignment horizontal="right"/>
    </xf>
    <xf numFmtId="4" fontId="90" fillId="0" borderId="0" xfId="0" applyNumberFormat="1" applyFont="1" applyAlignment="1">
      <alignment horizontal="right"/>
    </xf>
    <xf numFmtId="3" fontId="90" fillId="0" borderId="0" xfId="0" applyNumberFormat="1" applyFont="1" applyAlignment="1">
      <alignment horizontal="right"/>
    </xf>
    <xf numFmtId="0" fontId="26" fillId="11" borderId="39" xfId="0" applyFont="1" applyFill="1" applyBorder="1" applyAlignment="1">
      <alignment horizontal="center"/>
    </xf>
    <xf numFmtId="190" fontId="26" fillId="11" borderId="39" xfId="0" applyNumberFormat="1" applyFont="1" applyFill="1" applyBorder="1" applyAlignment="1">
      <alignment horizontal="center"/>
    </xf>
    <xf numFmtId="49" fontId="26" fillId="11" borderId="39" xfId="0" applyNumberFormat="1" applyFont="1" applyFill="1" applyBorder="1" applyAlignment="1">
      <alignment horizontal="center"/>
    </xf>
    <xf numFmtId="4" fontId="26" fillId="11" borderId="39" xfId="0" applyNumberFormat="1" applyFont="1" applyFill="1" applyBorder="1" applyAlignment="1">
      <alignment horizontal="center"/>
    </xf>
    <xf numFmtId="3" fontId="26" fillId="11" borderId="39" xfId="0" applyNumberFormat="1" applyFont="1" applyFill="1" applyBorder="1" applyAlignment="1">
      <alignment horizontal="center"/>
    </xf>
    <xf numFmtId="0" fontId="90" fillId="0" borderId="10" xfId="0" applyFont="1" applyBorder="1" applyAlignment="1">
      <alignment horizontal="right"/>
    </xf>
    <xf numFmtId="190" fontId="90" fillId="0" borderId="10" xfId="0" applyNumberFormat="1" applyFont="1" applyBorder="1" applyAlignment="1">
      <alignment horizontal="right"/>
    </xf>
    <xf numFmtId="49" fontId="90" fillId="0" borderId="10" xfId="0" applyNumberFormat="1" applyFont="1" applyBorder="1" applyAlignment="1">
      <alignment horizontal="right"/>
    </xf>
    <xf numFmtId="4" fontId="90" fillId="0" borderId="10" xfId="0" applyNumberFormat="1" applyFont="1" applyBorder="1" applyAlignment="1">
      <alignment horizontal="right"/>
    </xf>
    <xf numFmtId="3" fontId="90" fillId="0" borderId="10" xfId="0" applyNumberFormat="1" applyFont="1" applyBorder="1" applyAlignment="1">
      <alignment horizontal="right"/>
    </xf>
    <xf numFmtId="9" fontId="90" fillId="0" borderId="10" xfId="0" applyNumberFormat="1" applyFont="1" applyBorder="1" applyAlignment="1">
      <alignment horizontal="right"/>
    </xf>
    <xf numFmtId="0" fontId="90" fillId="0" borderId="10" xfId="0" applyFont="1" applyBorder="1" applyAlignment="1">
      <alignment horizontal="center"/>
    </xf>
    <xf numFmtId="0" fontId="26" fillId="11" borderId="12" xfId="0" applyFont="1" applyFill="1" applyBorder="1" applyAlignment="1">
      <alignment horizontal="center"/>
    </xf>
    <xf numFmtId="190" fontId="26" fillId="11" borderId="12" xfId="0" applyNumberFormat="1" applyFont="1" applyFill="1" applyBorder="1" applyAlignment="1">
      <alignment horizontal="center"/>
    </xf>
    <xf numFmtId="49" fontId="26" fillId="11" borderId="12" xfId="0" applyNumberFormat="1" applyFont="1" applyFill="1" applyBorder="1" applyAlignment="1">
      <alignment horizontal="center"/>
    </xf>
    <xf numFmtId="4" fontId="26" fillId="11" borderId="12" xfId="0" applyNumberFormat="1" applyFont="1" applyFill="1" applyBorder="1" applyAlignment="1">
      <alignment horizontal="center"/>
    </xf>
    <xf numFmtId="3" fontId="26" fillId="11" borderId="12" xfId="0" applyNumberFormat="1" applyFont="1" applyFill="1" applyBorder="1" applyAlignment="1">
      <alignment horizontal="center"/>
    </xf>
    <xf numFmtId="0" fontId="90" fillId="16" borderId="39" xfId="0" applyFont="1" applyFill="1" applyBorder="1" applyAlignment="1">
      <alignment horizontal="right"/>
    </xf>
    <xf numFmtId="190" fontId="90" fillId="16" borderId="39" xfId="0" applyNumberFormat="1" applyFont="1" applyFill="1" applyBorder="1" applyAlignment="1">
      <alignment horizontal="right"/>
    </xf>
    <xf numFmtId="49" fontId="90" fillId="16" borderId="39" xfId="0" applyNumberFormat="1" applyFont="1" applyFill="1" applyBorder="1" applyAlignment="1">
      <alignment horizontal="right"/>
    </xf>
    <xf numFmtId="4" fontId="90" fillId="16" borderId="39" xfId="0" applyNumberFormat="1" applyFont="1" applyFill="1" applyBorder="1" applyAlignment="1">
      <alignment horizontal="right"/>
    </xf>
    <xf numFmtId="3" fontId="90" fillId="16" borderId="39" xfId="0" applyNumberFormat="1" applyFont="1" applyFill="1" applyBorder="1" applyAlignment="1">
      <alignment horizontal="right"/>
    </xf>
    <xf numFmtId="9" fontId="90" fillId="16" borderId="39" xfId="0" applyNumberFormat="1" applyFont="1" applyFill="1" applyBorder="1" applyAlignment="1">
      <alignment horizontal="right"/>
    </xf>
    <xf numFmtId="0" fontId="90" fillId="16" borderId="39" xfId="0" applyFont="1" applyFill="1" applyBorder="1" applyAlignment="1">
      <alignment horizontal="center"/>
    </xf>
    <xf numFmtId="3" fontId="90" fillId="0" borderId="32" xfId="0" applyNumberFormat="1" applyFont="1" applyBorder="1" applyAlignment="1">
      <alignment horizontal="right"/>
    </xf>
    <xf numFmtId="3" fontId="90" fillId="16" borderId="40" xfId="0" applyNumberFormat="1" applyFont="1" applyFill="1" applyBorder="1" applyAlignment="1">
      <alignment horizontal="right"/>
    </xf>
    <xf numFmtId="4" fontId="90" fillId="0" borderId="41" xfId="0" applyNumberFormat="1" applyFont="1" applyBorder="1" applyAlignment="1">
      <alignment horizontal="right"/>
    </xf>
    <xf numFmtId="4" fontId="90" fillId="16" borderId="42" xfId="0" applyNumberFormat="1" applyFont="1" applyFill="1" applyBorder="1" applyAlignment="1">
      <alignment horizontal="right"/>
    </xf>
    <xf numFmtId="0" fontId="44" fillId="0" borderId="0" xfId="0" applyFont="1" applyAlignment="1">
      <alignment horizontal="center"/>
    </xf>
    <xf numFmtId="49" fontId="44" fillId="0" borderId="0" xfId="0" applyNumberFormat="1" applyFont="1" applyAlignment="1">
      <alignment horizontal="center"/>
    </xf>
    <xf numFmtId="0" fontId="166" fillId="38" borderId="0" xfId="0" applyFont="1" applyFill="1" applyAlignment="1">
      <alignment horizontal="center" vertical="center"/>
    </xf>
    <xf numFmtId="0" fontId="166" fillId="38"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4" fillId="0" borderId="0" xfId="0" applyNumberFormat="1" applyFont="1" applyAlignment="1">
      <alignment horizontal="center"/>
    </xf>
    <xf numFmtId="2" fontId="44" fillId="0" borderId="0" xfId="0" applyNumberFormat="1" applyFont="1" applyAlignment="1">
      <alignment horizontal="right"/>
    </xf>
    <xf numFmtId="0" fontId="44" fillId="0" borderId="0" xfId="0" applyFont="1" applyAlignment="1">
      <alignment horizontal="right"/>
    </xf>
    <xf numFmtId="0" fontId="44" fillId="0" borderId="0" xfId="0" applyFont="1" applyAlignment="1">
      <alignment/>
    </xf>
    <xf numFmtId="0" fontId="167" fillId="38" borderId="0" xfId="0" applyFont="1" applyFill="1" applyAlignment="1">
      <alignment horizontal="center" vertical="center"/>
    </xf>
    <xf numFmtId="0" fontId="167" fillId="0" borderId="0" xfId="0" applyFont="1" applyAlignment="1">
      <alignment/>
    </xf>
    <xf numFmtId="2" fontId="167" fillId="38" borderId="0" xfId="0" applyNumberFormat="1" applyFont="1" applyFill="1" applyAlignment="1">
      <alignment horizontal="right"/>
    </xf>
    <xf numFmtId="0" fontId="167" fillId="0" borderId="0" xfId="0" applyFont="1" applyAlignment="1">
      <alignment horizontal="right"/>
    </xf>
    <xf numFmtId="0" fontId="167" fillId="38" borderId="11" xfId="0" applyFont="1" applyFill="1" applyBorder="1" applyAlignment="1">
      <alignment horizontal="center" vertical="center"/>
    </xf>
    <xf numFmtId="0" fontId="166" fillId="38" borderId="11" xfId="0" applyFont="1" applyFill="1" applyBorder="1" applyAlignment="1">
      <alignment horizontal="center" vertical="center"/>
    </xf>
    <xf numFmtId="0" fontId="166" fillId="38" borderId="11" xfId="0" applyFont="1" applyFill="1" applyBorder="1" applyAlignment="1">
      <alignment horizontal="center"/>
    </xf>
    <xf numFmtId="0" fontId="44" fillId="0" borderId="11" xfId="0" applyFont="1" applyBorder="1" applyAlignment="1">
      <alignment/>
    </xf>
    <xf numFmtId="2" fontId="167" fillId="38"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5" fillId="0" borderId="0" xfId="0" applyFont="1" applyAlignment="1">
      <alignment/>
    </xf>
    <xf numFmtId="0" fontId="44" fillId="39" borderId="0" xfId="0" applyFont="1" applyFill="1" applyAlignment="1">
      <alignment/>
    </xf>
    <xf numFmtId="0" fontId="44" fillId="36" borderId="0" xfId="0" applyFont="1" applyFill="1" applyAlignment="1">
      <alignment/>
    </xf>
    <xf numFmtId="0" fontId="65" fillId="36" borderId="0" xfId="0" applyFont="1" applyFill="1" applyAlignment="1">
      <alignment/>
    </xf>
    <xf numFmtId="0" fontId="65" fillId="36" borderId="0" xfId="0" applyFont="1" applyFill="1" applyAlignment="1">
      <alignment horizontal="center"/>
    </xf>
    <xf numFmtId="0" fontId="44" fillId="36" borderId="11" xfId="0" applyFont="1" applyFill="1" applyBorder="1" applyAlignment="1">
      <alignment/>
    </xf>
    <xf numFmtId="0" fontId="65" fillId="36" borderId="11" xfId="0" applyFont="1" applyFill="1" applyBorder="1" applyAlignment="1">
      <alignment horizontal="center"/>
    </xf>
    <xf numFmtId="2" fontId="44" fillId="40" borderId="11" xfId="0" applyNumberFormat="1" applyFont="1" applyFill="1" applyBorder="1" applyAlignment="1">
      <alignment/>
    </xf>
    <xf numFmtId="0" fontId="168" fillId="39" borderId="0" xfId="0" applyFont="1" applyFill="1" applyAlignment="1">
      <alignment horizontal="left"/>
    </xf>
    <xf numFmtId="0" fontId="168" fillId="36" borderId="0" xfId="0" applyFont="1" applyFill="1" applyAlignment="1">
      <alignment horizontal="left"/>
    </xf>
    <xf numFmtId="0" fontId="168" fillId="39" borderId="0" xfId="0" applyFont="1" applyFill="1" applyAlignment="1" applyProtection="1">
      <alignment horizontal="left" vertical="center"/>
      <protection locked="0"/>
    </xf>
    <xf numFmtId="0" fontId="168" fillId="36" borderId="11" xfId="0" applyFont="1" applyFill="1" applyBorder="1" applyAlignment="1">
      <alignment horizontal="left"/>
    </xf>
    <xf numFmtId="0" fontId="69" fillId="39" borderId="0" xfId="0" applyFont="1" applyFill="1" applyAlignment="1">
      <alignment horizontal="left"/>
    </xf>
    <xf numFmtId="0" fontId="69" fillId="36" borderId="0" xfId="0" applyFont="1" applyFill="1" applyAlignment="1">
      <alignment horizontal="left"/>
    </xf>
    <xf numFmtId="0" fontId="69" fillId="39" borderId="0" xfId="0" applyFont="1" applyFill="1" applyAlignment="1" applyProtection="1">
      <alignment horizontal="left" vertical="center"/>
      <protection locked="0"/>
    </xf>
    <xf numFmtId="0" fontId="69" fillId="36" borderId="11" xfId="0" applyFont="1" applyFill="1" applyBorder="1" applyAlignment="1">
      <alignment horizontal="left"/>
    </xf>
    <xf numFmtId="0" fontId="169" fillId="39" borderId="0" xfId="0" applyFont="1" applyFill="1" applyAlignment="1">
      <alignment/>
    </xf>
    <xf numFmtId="0" fontId="169" fillId="0" borderId="0" xfId="0" applyFont="1" applyAlignment="1">
      <alignment/>
    </xf>
    <xf numFmtId="0" fontId="170" fillId="39" borderId="0" xfId="0" applyFont="1" applyFill="1" applyAlignment="1">
      <alignment/>
    </xf>
    <xf numFmtId="0" fontId="170" fillId="0" borderId="0" xfId="0" applyFont="1" applyAlignment="1">
      <alignment/>
    </xf>
    <xf numFmtId="0" fontId="171" fillId="39" borderId="0" xfId="0" applyFont="1" applyFill="1" applyAlignment="1">
      <alignment/>
    </xf>
    <xf numFmtId="0" fontId="169" fillId="36" borderId="0" xfId="0" applyFont="1" applyFill="1" applyAlignment="1">
      <alignment/>
    </xf>
    <xf numFmtId="0" fontId="171" fillId="0" borderId="11" xfId="0" applyFont="1" applyBorder="1" applyAlignment="1">
      <alignment/>
    </xf>
    <xf numFmtId="0" fontId="0" fillId="36" borderId="0" xfId="0" applyFill="1" applyAlignment="1">
      <alignment/>
    </xf>
    <xf numFmtId="0" fontId="97" fillId="34" borderId="27" xfId="0" applyFont="1" applyFill="1" applyBorder="1" applyAlignment="1" applyProtection="1">
      <alignment vertical="center"/>
      <protection/>
    </xf>
    <xf numFmtId="0" fontId="97" fillId="34" borderId="43" xfId="0" applyFont="1" applyFill="1" applyBorder="1" applyAlignment="1" applyProtection="1">
      <alignment vertical="center"/>
      <protection/>
    </xf>
    <xf numFmtId="204" fontId="34" fillId="35" borderId="11" xfId="0" applyNumberFormat="1" applyFont="1" applyFill="1" applyBorder="1" applyAlignment="1" applyProtection="1">
      <alignment vertical="center"/>
      <protection/>
    </xf>
    <xf numFmtId="0" fontId="34" fillId="35" borderId="11" xfId="0" applyFont="1" applyFill="1" applyBorder="1" applyAlignment="1" applyProtection="1">
      <alignment vertical="center"/>
      <protection/>
    </xf>
    <xf numFmtId="0" fontId="12" fillId="35" borderId="11" xfId="0" applyNumberFormat="1" applyFont="1" applyFill="1" applyBorder="1" applyAlignment="1" applyProtection="1">
      <alignment vertical="center"/>
      <protection/>
    </xf>
    <xf numFmtId="190" fontId="12" fillId="35" borderId="11" xfId="0" applyNumberFormat="1" applyFont="1" applyFill="1" applyBorder="1" applyAlignment="1" applyProtection="1">
      <alignment horizontal="center" vertical="center"/>
      <protection/>
    </xf>
    <xf numFmtId="49" fontId="12" fillId="35" borderId="11" xfId="0" applyNumberFormat="1" applyFont="1" applyFill="1" applyBorder="1" applyAlignment="1" applyProtection="1">
      <alignment vertical="center"/>
      <protection/>
    </xf>
    <xf numFmtId="0" fontId="12" fillId="35" borderId="11" xfId="0" applyFont="1" applyFill="1" applyBorder="1" applyAlignment="1">
      <alignment vertical="center"/>
    </xf>
    <xf numFmtId="4" fontId="12" fillId="35" borderId="11" xfId="40" applyNumberFormat="1" applyFont="1" applyFill="1" applyBorder="1" applyAlignment="1">
      <alignment vertical="center"/>
    </xf>
    <xf numFmtId="3" fontId="12" fillId="35" borderId="11" xfId="40" applyNumberFormat="1" applyFont="1" applyFill="1" applyBorder="1" applyAlignment="1">
      <alignment vertical="center"/>
    </xf>
    <xf numFmtId="4" fontId="46" fillId="35" borderId="11" xfId="40" applyNumberFormat="1" applyFont="1" applyFill="1" applyBorder="1" applyAlignment="1">
      <alignment vertical="center"/>
    </xf>
    <xf numFmtId="3" fontId="46" fillId="35" borderId="11" xfId="40" applyNumberFormat="1" applyFont="1" applyFill="1" applyBorder="1" applyAlignment="1">
      <alignment vertical="center"/>
    </xf>
    <xf numFmtId="3" fontId="46" fillId="35" borderId="11" xfId="70" applyNumberFormat="1" applyFont="1" applyFill="1" applyBorder="1" applyAlignment="1" applyProtection="1">
      <alignment vertical="center"/>
      <protection/>
    </xf>
    <xf numFmtId="4" fontId="46" fillId="35" borderId="11" xfId="70" applyNumberFormat="1" applyFont="1" applyFill="1" applyBorder="1" applyAlignment="1" applyProtection="1">
      <alignment vertical="center"/>
      <protection/>
    </xf>
    <xf numFmtId="192" fontId="46" fillId="35" borderId="11" xfId="70" applyNumberFormat="1" applyFont="1" applyFill="1" applyBorder="1" applyAlignment="1" applyProtection="1">
      <alignment vertical="center"/>
      <protection/>
    </xf>
    <xf numFmtId="4" fontId="46" fillId="35" borderId="11" xfId="0" applyNumberFormat="1" applyFont="1" applyFill="1" applyBorder="1" applyAlignment="1">
      <alignment vertical="center"/>
    </xf>
    <xf numFmtId="3" fontId="46" fillId="35" borderId="11" xfId="0" applyNumberFormat="1" applyFont="1" applyFill="1" applyBorder="1" applyAlignment="1">
      <alignment vertical="center"/>
    </xf>
    <xf numFmtId="192" fontId="12" fillId="35" borderId="11" xfId="70" applyNumberFormat="1" applyFont="1" applyFill="1" applyBorder="1" applyAlignment="1" applyProtection="1">
      <alignment vertical="center"/>
      <protection/>
    </xf>
    <xf numFmtId="3" fontId="12" fillId="35" borderId="11" xfId="70" applyNumberFormat="1" applyFont="1" applyFill="1" applyBorder="1" applyAlignment="1" applyProtection="1">
      <alignment vertical="center"/>
      <protection/>
    </xf>
    <xf numFmtId="4" fontId="12" fillId="35" borderId="11" xfId="70" applyNumberFormat="1" applyFont="1" applyFill="1" applyBorder="1" applyAlignment="1" applyProtection="1">
      <alignment vertical="center"/>
      <protection/>
    </xf>
    <xf numFmtId="186" fontId="47" fillId="35" borderId="11" xfId="43" applyNumberFormat="1" applyFont="1" applyFill="1" applyBorder="1" applyAlignment="1" applyProtection="1">
      <alignment vertical="center"/>
      <protection/>
    </xf>
    <xf numFmtId="0" fontId="18" fillId="35" borderId="44" xfId="0" applyFont="1" applyFill="1" applyBorder="1" applyAlignment="1" applyProtection="1">
      <alignment vertical="center"/>
      <protection/>
    </xf>
    <xf numFmtId="0" fontId="172" fillId="33" borderId="20" xfId="0" applyNumberFormat="1" applyFont="1" applyFill="1" applyBorder="1" applyAlignment="1" applyProtection="1">
      <alignment horizontal="center" vertical="center"/>
      <protection/>
    </xf>
    <xf numFmtId="0" fontId="34" fillId="36" borderId="20" xfId="0" applyNumberFormat="1" applyFont="1" applyFill="1" applyBorder="1" applyAlignment="1" applyProtection="1">
      <alignment horizontal="center" vertical="center"/>
      <protection/>
    </xf>
    <xf numFmtId="204" fontId="172" fillId="36" borderId="20" xfId="0" applyNumberFormat="1" applyFont="1" applyFill="1" applyBorder="1" applyAlignment="1" applyProtection="1">
      <alignment horizontal="center" vertical="center"/>
      <protection/>
    </xf>
    <xf numFmtId="0" fontId="172" fillId="41" borderId="20" xfId="0" applyNumberFormat="1"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locked="0"/>
    </xf>
    <xf numFmtId="0" fontId="172" fillId="36" borderId="20" xfId="0" applyNumberFormat="1" applyFont="1" applyFill="1" applyBorder="1" applyAlignment="1" applyProtection="1">
      <alignment horizontal="center" vertical="center"/>
      <protection/>
    </xf>
    <xf numFmtId="0" fontId="46" fillId="7" borderId="20" xfId="0" applyNumberFormat="1" applyFont="1" applyFill="1" applyBorder="1" applyAlignment="1">
      <alignment vertical="center"/>
    </xf>
    <xf numFmtId="0" fontId="34" fillId="42" borderId="20" xfId="0" applyNumberFormat="1" applyFont="1" applyFill="1" applyBorder="1" applyAlignment="1" applyProtection="1">
      <alignment horizontal="center" vertical="center"/>
      <protection/>
    </xf>
    <xf numFmtId="0" fontId="34" fillId="43" borderId="20" xfId="0" applyNumberFormat="1" applyFont="1" applyFill="1" applyBorder="1" applyAlignment="1" applyProtection="1">
      <alignment horizontal="center" vertical="center"/>
      <protection/>
    </xf>
    <xf numFmtId="204" fontId="46" fillId="7" borderId="20" xfId="0" applyNumberFormat="1" applyFont="1" applyFill="1" applyBorder="1" applyAlignment="1">
      <alignment vertical="center"/>
    </xf>
    <xf numFmtId="0" fontId="172" fillId="36" borderId="20" xfId="0"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172" fillId="44" borderId="20" xfId="0" applyNumberFormat="1" applyFont="1" applyFill="1" applyBorder="1" applyAlignment="1" applyProtection="1">
      <alignment horizontal="center" vertical="center"/>
      <protection/>
    </xf>
    <xf numFmtId="0" fontId="172" fillId="0" borderId="20"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46" fillId="7" borderId="20" xfId="0" applyFont="1" applyFill="1" applyBorder="1" applyAlignment="1" applyProtection="1">
      <alignment vertical="center"/>
      <protection locked="0"/>
    </xf>
    <xf numFmtId="0" fontId="48" fillId="36" borderId="20"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173" fillId="36" borderId="20" xfId="0" applyFont="1" applyFill="1" applyBorder="1" applyAlignment="1" applyProtection="1">
      <alignment horizontal="center" vertical="center"/>
      <protection/>
    </xf>
    <xf numFmtId="0" fontId="46" fillId="7" borderId="20" xfId="0" applyFont="1" applyFill="1" applyBorder="1" applyAlignment="1">
      <alignment vertical="center"/>
    </xf>
    <xf numFmtId="0" fontId="34" fillId="45" borderId="20" xfId="0" applyNumberFormat="1" applyFont="1" applyFill="1" applyBorder="1" applyAlignment="1" applyProtection="1">
      <alignment horizontal="center" vertical="center"/>
      <protection/>
    </xf>
    <xf numFmtId="0" fontId="174" fillId="33" borderId="20" xfId="0"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xf>
    <xf numFmtId="0" fontId="46" fillId="7" borderId="20" xfId="57" applyFont="1" applyFill="1" applyBorder="1" applyAlignment="1">
      <alignment vertical="center"/>
      <protection/>
    </xf>
    <xf numFmtId="0" fontId="174" fillId="36" borderId="20" xfId="0" applyFont="1" applyFill="1" applyBorder="1" applyAlignment="1" applyProtection="1">
      <alignment horizontal="center" vertical="center"/>
      <protection/>
    </xf>
    <xf numFmtId="0" fontId="164" fillId="7" borderId="20" xfId="0" applyFont="1" applyFill="1" applyBorder="1" applyAlignment="1">
      <alignment vertical="center"/>
    </xf>
    <xf numFmtId="0" fontId="48" fillId="0" borderId="20" xfId="0" applyFont="1" applyFill="1" applyBorder="1" applyAlignment="1" applyProtection="1">
      <alignment horizontal="center" vertical="center"/>
      <protection/>
    </xf>
    <xf numFmtId="0" fontId="12" fillId="0" borderId="20" xfId="0" applyNumberFormat="1" applyFont="1" applyFill="1" applyBorder="1" applyAlignment="1" applyProtection="1">
      <alignment horizontal="right" vertical="center"/>
      <protection locked="0"/>
    </xf>
    <xf numFmtId="3" fontId="12" fillId="8" borderId="20" xfId="70" applyNumberFormat="1" applyFont="1" applyFill="1" applyBorder="1" applyAlignment="1" applyProtection="1">
      <alignment horizontal="right" vertical="center"/>
      <protection/>
    </xf>
    <xf numFmtId="2" fontId="12" fillId="8" borderId="20" xfId="70" applyNumberFormat="1" applyFont="1" applyFill="1" applyBorder="1" applyAlignment="1" applyProtection="1">
      <alignment horizontal="right" vertical="center"/>
      <protection/>
    </xf>
    <xf numFmtId="4" fontId="12" fillId="0" borderId="20" xfId="0" applyNumberFormat="1" applyFont="1" applyFill="1" applyBorder="1" applyAlignment="1">
      <alignment horizontal="right" vertical="center"/>
    </xf>
    <xf numFmtId="9" fontId="12" fillId="8" borderId="20" xfId="70" applyNumberFormat="1" applyFont="1" applyFill="1" applyBorder="1" applyAlignment="1" applyProtection="1">
      <alignment horizontal="right" vertical="center"/>
      <protection/>
    </xf>
    <xf numFmtId="4" fontId="12" fillId="8" borderId="20" xfId="70" applyNumberFormat="1" applyFont="1" applyFill="1" applyBorder="1" applyAlignment="1" applyProtection="1">
      <alignment horizontal="right" vertical="center"/>
      <protection/>
    </xf>
    <xf numFmtId="4" fontId="12" fillId="0" borderId="20" xfId="43" applyNumberFormat="1" applyFont="1" applyFill="1" applyBorder="1" applyAlignment="1" applyProtection="1">
      <alignment horizontal="right" vertical="center"/>
      <protection locked="0"/>
    </xf>
    <xf numFmtId="2" fontId="12" fillId="8" borderId="20" xfId="0" applyNumberFormat="1" applyFont="1" applyFill="1" applyBorder="1" applyAlignment="1" applyProtection="1">
      <alignment horizontal="right" vertical="center"/>
      <protection/>
    </xf>
    <xf numFmtId="0" fontId="12" fillId="0" borderId="20" xfId="0" applyFont="1" applyFill="1" applyBorder="1" applyAlignment="1">
      <alignment horizontal="right" vertical="center"/>
    </xf>
    <xf numFmtId="4" fontId="12" fillId="0" borderId="20" xfId="43" applyNumberFormat="1" applyFont="1" applyFill="1" applyBorder="1" applyAlignment="1" applyProtection="1">
      <alignment horizontal="right" vertical="center"/>
      <protection/>
    </xf>
    <xf numFmtId="0" fontId="12" fillId="0" borderId="20" xfId="0" applyFont="1" applyFill="1" applyBorder="1" applyAlignment="1" applyProtection="1">
      <alignment horizontal="right" vertical="center"/>
      <protection locked="0"/>
    </xf>
    <xf numFmtId="4" fontId="12" fillId="0" borderId="20" xfId="43" applyNumberFormat="1" applyFont="1" applyFill="1" applyBorder="1" applyAlignment="1">
      <alignment horizontal="right" vertical="center"/>
    </xf>
    <xf numFmtId="3" fontId="12" fillId="0" borderId="20" xfId="43" applyNumberFormat="1" applyFont="1" applyFill="1" applyBorder="1" applyAlignment="1" applyProtection="1">
      <alignment horizontal="right" vertical="center"/>
      <protection locked="0"/>
    </xf>
    <xf numFmtId="1" fontId="12" fillId="0" borderId="20" xfId="0" applyNumberFormat="1" applyFont="1" applyFill="1" applyBorder="1" applyAlignment="1">
      <alignment horizontal="right" vertical="center"/>
    </xf>
    <xf numFmtId="4" fontId="12" fillId="0" borderId="20" xfId="40" applyNumberFormat="1" applyFont="1" applyFill="1" applyBorder="1" applyAlignment="1">
      <alignment horizontal="right" vertical="center"/>
    </xf>
    <xf numFmtId="3" fontId="12" fillId="0" borderId="20" xfId="4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4" fontId="12" fillId="0" borderId="20" xfId="42" applyNumberFormat="1" applyFont="1" applyFill="1" applyBorder="1" applyAlignment="1" applyProtection="1">
      <alignment horizontal="right" vertical="center"/>
      <protection locked="0"/>
    </xf>
    <xf numFmtId="3" fontId="12" fillId="0" borderId="20" xfId="42" applyNumberFormat="1" applyFont="1" applyFill="1" applyBorder="1" applyAlignment="1" applyProtection="1">
      <alignment horizontal="right" vertical="center"/>
      <protection locked="0"/>
    </xf>
    <xf numFmtId="190" fontId="12" fillId="0" borderId="20" xfId="0" applyNumberFormat="1" applyFont="1" applyFill="1" applyBorder="1" applyAlignment="1" applyProtection="1">
      <alignment horizontal="center" vertical="center"/>
      <protection/>
    </xf>
    <xf numFmtId="0" fontId="12" fillId="7" borderId="45" xfId="0" applyNumberFormat="1" applyFont="1" applyFill="1" applyBorder="1" applyAlignment="1" applyProtection="1">
      <alignment vertical="center"/>
      <protection/>
    </xf>
    <xf numFmtId="0" fontId="34" fillId="36" borderId="21" xfId="0" applyNumberFormat="1" applyFont="1" applyFill="1" applyBorder="1" applyAlignment="1" applyProtection="1">
      <alignment horizontal="center" vertical="center"/>
      <protection/>
    </xf>
    <xf numFmtId="0" fontId="172" fillId="36" borderId="21" xfId="0" applyNumberFormat="1" applyFont="1" applyFill="1" applyBorder="1" applyAlignment="1" applyProtection="1">
      <alignment horizontal="center" vertical="center"/>
      <protection/>
    </xf>
    <xf numFmtId="0" fontId="46" fillId="7" borderId="38" xfId="0" applyNumberFormat="1" applyFont="1" applyFill="1" applyBorder="1" applyAlignment="1" applyProtection="1">
      <alignment vertical="center"/>
      <protection locked="0"/>
    </xf>
    <xf numFmtId="190" fontId="12" fillId="7" borderId="20" xfId="0" applyNumberFormat="1" applyFont="1" applyFill="1" applyBorder="1" applyAlignment="1" applyProtection="1">
      <alignment horizontal="center" vertical="center"/>
      <protection locked="0"/>
    </xf>
    <xf numFmtId="190" fontId="12" fillId="7" borderId="20" xfId="0" applyNumberFormat="1" applyFont="1" applyFill="1" applyBorder="1" applyAlignment="1" applyProtection="1">
      <alignment horizontal="center" vertical="center"/>
      <protection/>
    </xf>
    <xf numFmtId="190" fontId="12" fillId="7" borderId="45" xfId="0" applyNumberFormat="1" applyFont="1" applyFill="1" applyBorder="1" applyAlignment="1" applyProtection="1">
      <alignment horizontal="center" vertical="center"/>
      <protection locked="0"/>
    </xf>
    <xf numFmtId="0" fontId="172" fillId="46" borderId="20" xfId="0" applyNumberFormat="1" applyFont="1" applyFill="1" applyBorder="1" applyAlignment="1" applyProtection="1">
      <alignment horizontal="center" vertical="center"/>
      <protection/>
    </xf>
    <xf numFmtId="0" fontId="172" fillId="47" borderId="20" xfId="0" applyNumberFormat="1"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34" fillId="45" borderId="20" xfId="0" applyNumberFormat="1" applyFont="1" applyFill="1" applyBorder="1" applyAlignment="1" applyProtection="1">
      <alignment horizontal="center" vertical="center"/>
      <protection/>
    </xf>
    <xf numFmtId="0" fontId="34" fillId="43" borderId="20" xfId="0" applyNumberFormat="1" applyFont="1" applyFill="1" applyBorder="1" applyAlignment="1" applyProtection="1">
      <alignment horizontal="center" vertical="center"/>
      <protection/>
    </xf>
    <xf numFmtId="0" fontId="172" fillId="48" borderId="20" xfId="0" applyNumberFormat="1" applyFont="1" applyFill="1" applyBorder="1" applyAlignment="1" applyProtection="1">
      <alignment horizontal="center" vertical="center"/>
      <protection/>
    </xf>
    <xf numFmtId="0" fontId="172" fillId="49" borderId="20" xfId="0" applyNumberFormat="1" applyFont="1" applyFill="1" applyBorder="1" applyAlignment="1" applyProtection="1">
      <alignment horizontal="center" vertical="center"/>
      <protection/>
    </xf>
    <xf numFmtId="0" fontId="46" fillId="7" borderId="46" xfId="0" applyNumberFormat="1" applyFont="1" applyFill="1" applyBorder="1" applyAlignment="1">
      <alignment vertical="center"/>
    </xf>
    <xf numFmtId="0" fontId="12" fillId="7" borderId="21" xfId="0" applyNumberFormat="1" applyFont="1" applyFill="1" applyBorder="1" applyAlignment="1">
      <alignment vertical="center"/>
    </xf>
    <xf numFmtId="4" fontId="175" fillId="36" borderId="19" xfId="42" applyNumberFormat="1" applyFont="1" applyFill="1" applyBorder="1" applyAlignment="1" applyProtection="1">
      <alignment horizontal="right" vertical="center"/>
      <protection locked="0"/>
    </xf>
    <xf numFmtId="4" fontId="175" fillId="36" borderId="20" xfId="0" applyNumberFormat="1" applyFont="1" applyFill="1" applyBorder="1" applyAlignment="1">
      <alignment horizontal="right"/>
    </xf>
    <xf numFmtId="4" fontId="175" fillId="36" borderId="20" xfId="42" applyNumberFormat="1" applyFont="1" applyFill="1" applyBorder="1" applyAlignment="1" applyProtection="1">
      <alignment horizontal="right" vertical="center"/>
      <protection locked="0"/>
    </xf>
    <xf numFmtId="4" fontId="175" fillId="36" borderId="20" xfId="43" applyNumberFormat="1" applyFont="1" applyFill="1" applyBorder="1" applyAlignment="1" applyProtection="1">
      <alignment horizontal="right" vertical="center"/>
      <protection locked="0"/>
    </xf>
    <xf numFmtId="4" fontId="175" fillId="36" borderId="20" xfId="40" applyNumberFormat="1" applyFont="1" applyFill="1" applyBorder="1" applyAlignment="1" applyProtection="1">
      <alignment horizontal="right" vertical="center"/>
      <protection locked="0"/>
    </xf>
    <xf numFmtId="4" fontId="175" fillId="36" borderId="20" xfId="0" applyNumberFormat="1" applyFont="1" applyFill="1" applyBorder="1" applyAlignment="1">
      <alignment horizontal="right" wrapText="1"/>
    </xf>
    <xf numFmtId="4" fontId="175" fillId="36" borderId="21" xfId="0" applyNumberFormat="1" applyFont="1" applyFill="1" applyBorder="1" applyAlignment="1">
      <alignment horizontal="right"/>
    </xf>
    <xf numFmtId="3" fontId="176" fillId="36" borderId="29" xfId="42" applyNumberFormat="1" applyFont="1" applyFill="1" applyBorder="1" applyAlignment="1" applyProtection="1">
      <alignment horizontal="right" vertical="center"/>
      <protection locked="0"/>
    </xf>
    <xf numFmtId="3" fontId="176" fillId="36" borderId="30" xfId="0" applyNumberFormat="1" applyFont="1" applyFill="1" applyBorder="1" applyAlignment="1">
      <alignment horizontal="right"/>
    </xf>
    <xf numFmtId="3" fontId="176" fillId="36" borderId="30" xfId="42" applyNumberFormat="1" applyFont="1" applyFill="1" applyBorder="1" applyAlignment="1" applyProtection="1">
      <alignment horizontal="right" vertical="center"/>
      <protection locked="0"/>
    </xf>
    <xf numFmtId="3" fontId="176" fillId="36" borderId="30" xfId="43" applyNumberFormat="1" applyFont="1" applyFill="1" applyBorder="1" applyAlignment="1" applyProtection="1">
      <alignment horizontal="right" vertical="center"/>
      <protection locked="0"/>
    </xf>
    <xf numFmtId="3" fontId="176" fillId="36" borderId="30" xfId="40" applyNumberFormat="1" applyFont="1" applyFill="1" applyBorder="1" applyAlignment="1" applyProtection="1">
      <alignment horizontal="right" vertical="center"/>
      <protection locked="0"/>
    </xf>
    <xf numFmtId="3" fontId="176" fillId="36" borderId="31" xfId="0" applyNumberFormat="1" applyFont="1" applyFill="1" applyBorder="1" applyAlignment="1">
      <alignment horizontal="right"/>
    </xf>
    <xf numFmtId="2" fontId="0" fillId="0" borderId="0" xfId="0" applyNumberFormat="1" applyFont="1" applyAlignment="1">
      <alignment/>
    </xf>
    <xf numFmtId="0" fontId="169" fillId="39" borderId="11" xfId="0" applyFont="1" applyFill="1" applyBorder="1" applyAlignment="1">
      <alignment/>
    </xf>
    <xf numFmtId="0" fontId="69" fillId="39" borderId="11" xfId="0" applyFont="1" applyFill="1" applyBorder="1" applyAlignment="1">
      <alignment horizontal="left"/>
    </xf>
    <xf numFmtId="0" fontId="171" fillId="36" borderId="0" xfId="0" applyFont="1" applyFill="1" applyAlignment="1">
      <alignment/>
    </xf>
    <xf numFmtId="0" fontId="44" fillId="0" borderId="0" xfId="0" applyFont="1" applyBorder="1" applyAlignment="1">
      <alignment/>
    </xf>
    <xf numFmtId="0" fontId="69" fillId="36" borderId="0" xfId="0" applyFont="1" applyFill="1" applyBorder="1" applyAlignment="1">
      <alignment horizontal="left"/>
    </xf>
    <xf numFmtId="0" fontId="0" fillId="0" borderId="0" xfId="0" applyFont="1" applyBorder="1" applyAlignment="1">
      <alignment horizontal="center"/>
    </xf>
    <xf numFmtId="0" fontId="65" fillId="0" borderId="0" xfId="0" applyFont="1" applyBorder="1" applyAlignment="1">
      <alignment/>
    </xf>
    <xf numFmtId="0" fontId="167" fillId="0" borderId="0" xfId="0" applyFont="1" applyBorder="1" applyAlignment="1">
      <alignment/>
    </xf>
    <xf numFmtId="0" fontId="0" fillId="0" borderId="0" xfId="0" applyBorder="1" applyAlignment="1">
      <alignment/>
    </xf>
    <xf numFmtId="2" fontId="167" fillId="38" borderId="0" xfId="0" applyNumberFormat="1" applyFont="1" applyFill="1" applyAlignment="1">
      <alignment/>
    </xf>
    <xf numFmtId="0" fontId="44" fillId="39" borderId="11" xfId="0" applyFont="1" applyFill="1" applyBorder="1" applyAlignment="1">
      <alignment/>
    </xf>
    <xf numFmtId="2" fontId="167" fillId="38"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0" fillId="0" borderId="39" xfId="0" applyFont="1" applyBorder="1" applyAlignment="1">
      <alignment horizontal="right"/>
    </xf>
    <xf numFmtId="190" fontId="90" fillId="0" borderId="39" xfId="0" applyNumberFormat="1" applyFont="1" applyBorder="1" applyAlignment="1">
      <alignment horizontal="right"/>
    </xf>
    <xf numFmtId="49" fontId="90" fillId="0" borderId="39" xfId="0" applyNumberFormat="1" applyFont="1" applyBorder="1" applyAlignment="1">
      <alignment horizontal="right"/>
    </xf>
    <xf numFmtId="4" fontId="90" fillId="0" borderId="39" xfId="0" applyNumberFormat="1" applyFont="1" applyBorder="1" applyAlignment="1">
      <alignment horizontal="right"/>
    </xf>
    <xf numFmtId="3" fontId="90" fillId="0" borderId="39" xfId="0" applyNumberFormat="1" applyFont="1" applyBorder="1" applyAlignment="1">
      <alignment horizontal="right"/>
    </xf>
    <xf numFmtId="9" fontId="90" fillId="0" borderId="39" xfId="0" applyNumberFormat="1" applyFont="1" applyBorder="1" applyAlignment="1">
      <alignment horizontal="right"/>
    </xf>
    <xf numFmtId="0" fontId="90" fillId="0" borderId="39" xfId="0" applyFont="1" applyBorder="1" applyAlignment="1">
      <alignment horizontal="center"/>
    </xf>
    <xf numFmtId="204" fontId="46" fillId="7" borderId="19" xfId="0" applyNumberFormat="1" applyFont="1" applyFill="1" applyBorder="1" applyAlignment="1">
      <alignment vertical="center"/>
    </xf>
    <xf numFmtId="204" fontId="12" fillId="7" borderId="19" xfId="0" applyNumberFormat="1" applyFont="1" applyFill="1" applyBorder="1" applyAlignment="1">
      <alignment vertical="center"/>
    </xf>
    <xf numFmtId="0" fontId="12" fillId="7" borderId="45" xfId="0" applyFont="1" applyFill="1" applyBorder="1" applyAlignment="1">
      <alignment vertical="center"/>
    </xf>
    <xf numFmtId="0" fontId="12" fillId="7" borderId="19" xfId="0" applyFont="1" applyFill="1" applyBorder="1" applyAlignment="1" applyProtection="1">
      <alignment vertical="center"/>
      <protection/>
    </xf>
    <xf numFmtId="0" fontId="70" fillId="0" borderId="0" xfId="0" applyFont="1" applyFill="1" applyBorder="1" applyAlignment="1" applyProtection="1">
      <alignment horizontal="center" vertical="center"/>
      <protection/>
    </xf>
    <xf numFmtId="0" fontId="70" fillId="50" borderId="0" xfId="0" applyFont="1" applyFill="1" applyBorder="1" applyAlignment="1" applyProtection="1">
      <alignment horizontal="center" vertical="center"/>
      <protection/>
    </xf>
    <xf numFmtId="0" fontId="71" fillId="50" borderId="0" xfId="0" applyFont="1" applyFill="1" applyBorder="1" applyAlignment="1" applyProtection="1">
      <alignment horizontal="center" vertical="center"/>
      <protection/>
    </xf>
    <xf numFmtId="0" fontId="4" fillId="50" borderId="0" xfId="0" applyFont="1" applyFill="1" applyAlignment="1" applyProtection="1">
      <alignment vertical="center"/>
      <protection locked="0"/>
    </xf>
    <xf numFmtId="4" fontId="12" fillId="0" borderId="20" xfId="40" applyNumberFormat="1" applyFont="1" applyFill="1" applyBorder="1" applyAlignment="1" applyProtection="1">
      <alignment horizontal="right" vertical="center"/>
      <protection/>
    </xf>
    <xf numFmtId="4" fontId="12" fillId="0" borderId="20" xfId="42" applyNumberFormat="1" applyFont="1" applyFill="1" applyBorder="1" applyAlignment="1" applyProtection="1">
      <alignment horizontal="right" vertical="center"/>
      <protection/>
    </xf>
    <xf numFmtId="190" fontId="12" fillId="0" borderId="45" xfId="0" applyNumberFormat="1" applyFont="1" applyFill="1" applyBorder="1" applyAlignment="1" applyProtection="1">
      <alignment horizontal="center" vertical="center"/>
      <protection/>
    </xf>
    <xf numFmtId="0" fontId="174" fillId="0" borderId="20" xfId="0" applyFont="1" applyFill="1" applyBorder="1" applyAlignment="1" applyProtection="1">
      <alignment horizontal="center" vertical="center"/>
      <protection/>
    </xf>
    <xf numFmtId="0" fontId="12" fillId="0" borderId="45" xfId="0" applyFont="1" applyFill="1" applyBorder="1" applyAlignment="1">
      <alignment horizontal="right" vertical="center"/>
    </xf>
    <xf numFmtId="0" fontId="12" fillId="7" borderId="20" xfId="0" applyFont="1" applyFill="1" applyBorder="1" applyAlignment="1">
      <alignment horizontal="right" vertical="center"/>
    </xf>
    <xf numFmtId="0" fontId="12" fillId="7" borderId="20" xfId="0" applyFont="1" applyFill="1" applyBorder="1" applyAlignment="1">
      <alignment horizontal="right"/>
    </xf>
    <xf numFmtId="0" fontId="12" fillId="7" borderId="20" xfId="0" applyNumberFormat="1" applyFont="1" applyFill="1" applyBorder="1" applyAlignment="1">
      <alignment horizontal="right" vertical="center"/>
    </xf>
    <xf numFmtId="0" fontId="12" fillId="7" borderId="20" xfId="0" applyFont="1" applyFill="1" applyBorder="1" applyAlignment="1" applyProtection="1">
      <alignment horizontal="right" vertical="center"/>
      <protection locked="0"/>
    </xf>
    <xf numFmtId="1" fontId="12" fillId="7" borderId="20" xfId="0" applyNumberFormat="1" applyFont="1" applyFill="1" applyBorder="1" applyAlignment="1">
      <alignment horizontal="right"/>
    </xf>
    <xf numFmtId="0" fontId="12" fillId="7" borderId="20" xfId="0" applyNumberFormat="1" applyFont="1" applyFill="1" applyBorder="1" applyAlignment="1" applyProtection="1">
      <alignment horizontal="right" vertical="center"/>
      <protection locked="0"/>
    </xf>
    <xf numFmtId="1" fontId="12" fillId="7" borderId="20" xfId="0" applyNumberFormat="1" applyFont="1" applyFill="1" applyBorder="1" applyAlignment="1">
      <alignment horizontal="right" vertical="center"/>
    </xf>
    <xf numFmtId="3" fontId="12" fillId="0" borderId="20" xfId="40" applyNumberFormat="1" applyFont="1" applyFill="1" applyBorder="1" applyAlignment="1" applyProtection="1">
      <alignment horizontal="right" vertical="center"/>
      <protection/>
    </xf>
    <xf numFmtId="3" fontId="12" fillId="0" borderId="20" xfId="42" applyNumberFormat="1" applyFont="1" applyFill="1" applyBorder="1" applyAlignment="1" applyProtection="1">
      <alignment horizontal="right" vertical="center"/>
      <protection/>
    </xf>
    <xf numFmtId="0" fontId="12" fillId="7" borderId="45" xfId="0" applyFont="1" applyFill="1" applyBorder="1" applyAlignment="1">
      <alignment horizontal="right" vertical="center"/>
    </xf>
    <xf numFmtId="0" fontId="12" fillId="7" borderId="19" xfId="0" applyFont="1" applyFill="1" applyBorder="1" applyAlignment="1">
      <alignment vertical="center"/>
    </xf>
    <xf numFmtId="0" fontId="12" fillId="0" borderId="19" xfId="0" applyFont="1" applyFill="1" applyBorder="1" applyAlignment="1">
      <alignment vertical="center"/>
    </xf>
    <xf numFmtId="4" fontId="12" fillId="0" borderId="19" xfId="40" applyNumberFormat="1" applyFont="1" applyFill="1" applyBorder="1" applyAlignment="1">
      <alignment vertical="center"/>
    </xf>
    <xf numFmtId="3" fontId="12" fillId="0" borderId="19" xfId="40" applyNumberFormat="1" applyFont="1" applyFill="1" applyBorder="1" applyAlignment="1">
      <alignment vertical="center"/>
    </xf>
    <xf numFmtId="3" fontId="12" fillId="8" borderId="19" xfId="70" applyNumberFormat="1" applyFont="1" applyFill="1" applyBorder="1" applyAlignment="1" applyProtection="1">
      <alignment vertical="center"/>
      <protection/>
    </xf>
    <xf numFmtId="2" fontId="12" fillId="8" borderId="19" xfId="70" applyNumberFormat="1" applyFont="1" applyFill="1" applyBorder="1" applyAlignment="1" applyProtection="1">
      <alignment vertical="center"/>
      <protection/>
    </xf>
    <xf numFmtId="4" fontId="12" fillId="0" borderId="19" xfId="43" applyNumberFormat="1" applyFont="1" applyFill="1" applyBorder="1" applyAlignment="1" applyProtection="1">
      <alignment vertical="center"/>
      <protection/>
    </xf>
    <xf numFmtId="9" fontId="12" fillId="8" borderId="19" xfId="70" applyNumberFormat="1" applyFont="1" applyFill="1" applyBorder="1" applyAlignment="1" applyProtection="1">
      <alignment vertical="center"/>
      <protection/>
    </xf>
    <xf numFmtId="4" fontId="12" fillId="8" borderId="19" xfId="70" applyNumberFormat="1" applyFont="1" applyFill="1" applyBorder="1" applyAlignment="1" applyProtection="1">
      <alignment vertical="center"/>
      <protection/>
    </xf>
    <xf numFmtId="4" fontId="12" fillId="0" borderId="19" xfId="43" applyNumberFormat="1" applyFont="1" applyFill="1" applyBorder="1" applyAlignment="1" applyProtection="1">
      <alignment vertical="center"/>
      <protection locked="0"/>
    </xf>
    <xf numFmtId="2" fontId="12" fillId="8" borderId="19" xfId="0" applyNumberFormat="1" applyFont="1" applyFill="1" applyBorder="1" applyAlignment="1" applyProtection="1">
      <alignment vertical="center"/>
      <protection/>
    </xf>
    <xf numFmtId="190" fontId="12" fillId="0"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0" borderId="20" xfId="0" applyFont="1" applyFill="1" applyBorder="1" applyAlignment="1">
      <alignment vertical="center"/>
    </xf>
    <xf numFmtId="4" fontId="12" fillId="0" borderId="20" xfId="40" applyNumberFormat="1" applyFont="1" applyFill="1" applyBorder="1" applyAlignment="1">
      <alignment vertical="center"/>
    </xf>
    <xf numFmtId="3" fontId="12" fillId="0" borderId="20" xfId="40" applyNumberFormat="1" applyFont="1" applyFill="1" applyBorder="1" applyAlignment="1">
      <alignment vertical="center"/>
    </xf>
    <xf numFmtId="3" fontId="12" fillId="8" borderId="20" xfId="70" applyNumberFormat="1" applyFont="1" applyFill="1" applyBorder="1" applyAlignment="1" applyProtection="1">
      <alignment vertical="center"/>
      <protection/>
    </xf>
    <xf numFmtId="2" fontId="12" fillId="8" borderId="20" xfId="70" applyNumberFormat="1" applyFont="1" applyFill="1" applyBorder="1" applyAlignment="1" applyProtection="1">
      <alignment vertical="center"/>
      <protection/>
    </xf>
    <xf numFmtId="4" fontId="12" fillId="0" borderId="20" xfId="43" applyNumberFormat="1" applyFont="1" applyFill="1" applyBorder="1" applyAlignment="1" applyProtection="1">
      <alignment vertical="center"/>
      <protection/>
    </xf>
    <xf numFmtId="9" fontId="12" fillId="8" borderId="20" xfId="70" applyNumberFormat="1" applyFont="1" applyFill="1" applyBorder="1" applyAlignment="1" applyProtection="1">
      <alignment vertical="center"/>
      <protection/>
    </xf>
    <xf numFmtId="4" fontId="12" fillId="8" borderId="20" xfId="70" applyNumberFormat="1" applyFont="1" applyFill="1" applyBorder="1" applyAlignment="1" applyProtection="1">
      <alignment vertical="center"/>
      <protection/>
    </xf>
    <xf numFmtId="4" fontId="12"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4" fontId="12" fillId="36" borderId="20" xfId="0" applyNumberFormat="1" applyFont="1" applyFill="1" applyBorder="1" applyAlignment="1">
      <alignment vertical="center"/>
    </xf>
    <xf numFmtId="3" fontId="12" fillId="36" borderId="20" xfId="0" applyNumberFormat="1" applyFont="1" applyFill="1" applyBorder="1" applyAlignment="1">
      <alignment vertical="center"/>
    </xf>
    <xf numFmtId="2" fontId="12" fillId="8" borderId="20" xfId="0" applyNumberFormat="1" applyFont="1" applyFill="1" applyBorder="1" applyAlignment="1" applyProtection="1">
      <alignment vertical="center"/>
      <protection/>
    </xf>
    <xf numFmtId="190" fontId="12" fillId="0" borderId="20" xfId="0" applyNumberFormat="1"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0" borderId="20" xfId="0" applyNumberFormat="1" applyFont="1" applyFill="1" applyBorder="1" applyAlignment="1" applyProtection="1">
      <alignment vertical="center"/>
      <protection locked="0"/>
    </xf>
    <xf numFmtId="4" fontId="12" fillId="0" borderId="20" xfId="42" applyNumberFormat="1" applyFont="1" applyFill="1" applyBorder="1" applyAlignment="1" applyProtection="1">
      <alignment vertical="center"/>
      <protection locked="0"/>
    </xf>
    <xf numFmtId="3" fontId="12" fillId="0" borderId="20" xfId="42" applyNumberFormat="1" applyFont="1" applyFill="1" applyBorder="1" applyAlignment="1" applyProtection="1">
      <alignment vertical="center"/>
      <protection locked="0"/>
    </xf>
    <xf numFmtId="4" fontId="12" fillId="0" borderId="20" xfId="40" applyNumberFormat="1" applyFont="1" applyFill="1" applyBorder="1" applyAlignment="1" applyProtection="1">
      <alignment vertical="center"/>
      <protection locked="0"/>
    </xf>
    <xf numFmtId="3" fontId="12" fillId="0" borderId="20" xfId="40" applyNumberFormat="1" applyFont="1" applyFill="1" applyBorder="1" applyAlignment="1" applyProtection="1">
      <alignment vertical="center"/>
      <protection locked="0"/>
    </xf>
    <xf numFmtId="4" fontId="12" fillId="0" borderId="20" xfId="43" applyNumberFormat="1"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4" fontId="12" fillId="0" borderId="20" xfId="43" applyNumberFormat="1" applyFont="1" applyFill="1" applyBorder="1" applyAlignment="1">
      <alignment vertical="center"/>
    </xf>
    <xf numFmtId="3" fontId="12" fillId="0" borderId="20" xfId="43" applyNumberFormat="1" applyFont="1" applyFill="1" applyBorder="1" applyAlignment="1">
      <alignment vertical="center"/>
    </xf>
    <xf numFmtId="185" fontId="12" fillId="0" borderId="20" xfId="43" applyNumberFormat="1" applyFont="1" applyFill="1" applyBorder="1" applyAlignment="1" applyProtection="1">
      <alignment vertical="center"/>
      <protection locked="0"/>
    </xf>
    <xf numFmtId="3" fontId="12" fillId="0" borderId="20" xfId="43" applyNumberFormat="1" applyFont="1" applyFill="1" applyBorder="1" applyAlignment="1" applyProtection="1">
      <alignment vertical="center"/>
      <protection locked="0"/>
    </xf>
    <xf numFmtId="4" fontId="12" fillId="0" borderId="20" xfId="40" applyNumberFormat="1" applyFont="1" applyFill="1" applyBorder="1" applyAlignment="1" applyProtection="1">
      <alignment vertical="center"/>
      <protection/>
    </xf>
    <xf numFmtId="4" fontId="12" fillId="0" borderId="20" xfId="53" applyNumberFormat="1" applyFont="1" applyFill="1" applyBorder="1" applyAlignment="1" applyProtection="1">
      <alignment vertical="center"/>
      <protection/>
    </xf>
    <xf numFmtId="3" fontId="12" fillId="0" borderId="20" xfId="53" applyNumberFormat="1" applyFont="1" applyFill="1" applyBorder="1" applyAlignment="1" applyProtection="1">
      <alignment vertical="center"/>
      <protection/>
    </xf>
    <xf numFmtId="1" fontId="12" fillId="7" borderId="20" xfId="0" applyNumberFormat="1" applyFont="1" applyFill="1" applyBorder="1" applyAlignment="1">
      <alignment vertical="center"/>
    </xf>
    <xf numFmtId="1" fontId="12" fillId="0" borderId="20" xfId="0" applyNumberFormat="1" applyFont="1" applyFill="1" applyBorder="1" applyAlignment="1">
      <alignment vertical="center"/>
    </xf>
    <xf numFmtId="4" fontId="12" fillId="0" borderId="20" xfId="0" applyNumberFormat="1" applyFont="1" applyBorder="1" applyAlignment="1">
      <alignment vertical="center"/>
    </xf>
    <xf numFmtId="3" fontId="12" fillId="0" borderId="20" xfId="0" applyNumberFormat="1" applyFont="1" applyBorder="1" applyAlignment="1">
      <alignment vertical="center"/>
    </xf>
    <xf numFmtId="0" fontId="12" fillId="7" borderId="20" xfId="0" applyFont="1" applyFill="1" applyBorder="1" applyAlignment="1" applyProtection="1">
      <alignment vertical="center"/>
      <protection locked="0"/>
    </xf>
    <xf numFmtId="4" fontId="12" fillId="33" borderId="20" xfId="0" applyNumberFormat="1" applyFont="1" applyFill="1" applyBorder="1" applyAlignment="1">
      <alignment vertical="center"/>
    </xf>
    <xf numFmtId="4" fontId="12" fillId="0" borderId="20" xfId="44" applyNumberFormat="1" applyFont="1" applyFill="1" applyBorder="1" applyAlignment="1" applyProtection="1">
      <alignment vertical="center"/>
      <protection locked="0"/>
    </xf>
    <xf numFmtId="3" fontId="12" fillId="0" borderId="20" xfId="44" applyNumberFormat="1"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0" borderId="21" xfId="0" applyFont="1" applyFill="1" applyBorder="1" applyAlignment="1" applyProtection="1">
      <alignment vertical="center"/>
      <protection locked="0"/>
    </xf>
    <xf numFmtId="3" fontId="12" fillId="8" borderId="21" xfId="70" applyNumberFormat="1" applyFont="1" applyFill="1" applyBorder="1" applyAlignment="1" applyProtection="1">
      <alignment vertical="center"/>
      <protection/>
    </xf>
    <xf numFmtId="2" fontId="12" fillId="8" borderId="21" xfId="70" applyNumberFormat="1" applyFont="1" applyFill="1" applyBorder="1" applyAlignment="1" applyProtection="1">
      <alignment vertical="center"/>
      <protection/>
    </xf>
    <xf numFmtId="4" fontId="12" fillId="0" borderId="21" xfId="43" applyNumberFormat="1" applyFont="1" applyFill="1" applyBorder="1" applyAlignment="1" applyProtection="1">
      <alignment vertical="center"/>
      <protection/>
    </xf>
    <xf numFmtId="9" fontId="12" fillId="8" borderId="21" xfId="70" applyNumberFormat="1" applyFont="1" applyFill="1" applyBorder="1" applyAlignment="1" applyProtection="1">
      <alignment vertical="center"/>
      <protection/>
    </xf>
    <xf numFmtId="4" fontId="12" fillId="8" borderId="21" xfId="70" applyNumberFormat="1" applyFont="1" applyFill="1" applyBorder="1" applyAlignment="1" applyProtection="1">
      <alignment vertical="center"/>
      <protection/>
    </xf>
    <xf numFmtId="2" fontId="12" fillId="8" borderId="21" xfId="0" applyNumberFormat="1" applyFont="1" applyFill="1" applyBorder="1" applyAlignment="1" applyProtection="1">
      <alignment vertical="center"/>
      <protection/>
    </xf>
    <xf numFmtId="190" fontId="12" fillId="0" borderId="21" xfId="0" applyNumberFormat="1" applyFont="1" applyFill="1" applyBorder="1" applyAlignment="1" applyProtection="1">
      <alignment vertical="center"/>
      <protection/>
    </xf>
    <xf numFmtId="4" fontId="46" fillId="0" borderId="20" xfId="0" applyNumberFormat="1" applyFont="1" applyFill="1" applyBorder="1" applyAlignment="1">
      <alignment vertical="center"/>
    </xf>
    <xf numFmtId="3" fontId="46" fillId="0" borderId="20" xfId="0" applyNumberFormat="1" applyFont="1" applyFill="1" applyBorder="1" applyAlignment="1">
      <alignment vertical="center"/>
    </xf>
    <xf numFmtId="4" fontId="46" fillId="0" borderId="20" xfId="40" applyNumberFormat="1" applyFont="1" applyFill="1" applyBorder="1" applyAlignment="1" applyProtection="1">
      <alignment vertical="center"/>
      <protection locked="0"/>
    </xf>
    <xf numFmtId="3" fontId="46" fillId="0" borderId="20" xfId="40" applyNumberFormat="1" applyFont="1" applyFill="1" applyBorder="1" applyAlignment="1" applyProtection="1">
      <alignment vertical="center"/>
      <protection locked="0"/>
    </xf>
    <xf numFmtId="4" fontId="46" fillId="0" borderId="20" xfId="43" applyNumberFormat="1" applyFont="1" applyFill="1" applyBorder="1" applyAlignment="1" applyProtection="1">
      <alignment vertical="center"/>
      <protection locked="0"/>
    </xf>
    <xf numFmtId="3" fontId="46" fillId="0" borderId="20" xfId="43" applyNumberFormat="1" applyFont="1" applyFill="1" applyBorder="1" applyAlignment="1" applyProtection="1">
      <alignment vertical="center"/>
      <protection locked="0"/>
    </xf>
    <xf numFmtId="4" fontId="46" fillId="0" borderId="20" xfId="40" applyNumberFormat="1" applyFont="1" applyFill="1" applyBorder="1" applyAlignment="1" applyProtection="1">
      <alignment vertical="center"/>
      <protection/>
    </xf>
    <xf numFmtId="3" fontId="46" fillId="0" borderId="20" xfId="40" applyNumberFormat="1" applyFont="1" applyFill="1" applyBorder="1" applyAlignment="1" applyProtection="1">
      <alignment vertical="center"/>
      <protection/>
    </xf>
    <xf numFmtId="4" fontId="46" fillId="0" borderId="20" xfId="53" applyNumberFormat="1" applyFont="1" applyFill="1" applyBorder="1" applyAlignment="1" applyProtection="1">
      <alignment vertical="center"/>
      <protection/>
    </xf>
    <xf numFmtId="3" fontId="46" fillId="0" borderId="20" xfId="53" applyNumberFormat="1" applyFont="1" applyFill="1" applyBorder="1" applyAlignment="1" applyProtection="1">
      <alignment vertical="center"/>
      <protection/>
    </xf>
    <xf numFmtId="4" fontId="46" fillId="0" borderId="20" xfId="44" applyNumberFormat="1" applyFont="1" applyFill="1" applyBorder="1" applyAlignment="1" applyProtection="1">
      <alignment vertical="center"/>
      <protection locked="0"/>
    </xf>
    <xf numFmtId="3" fontId="46" fillId="0" borderId="20" xfId="44" applyNumberFormat="1" applyFont="1" applyFill="1" applyBorder="1" applyAlignment="1" applyProtection="1">
      <alignment vertical="center"/>
      <protection locked="0"/>
    </xf>
    <xf numFmtId="0" fontId="12" fillId="51" borderId="20" xfId="0" applyFont="1" applyFill="1" applyBorder="1" applyAlignment="1">
      <alignment vertical="center"/>
    </xf>
    <xf numFmtId="0" fontId="12" fillId="51" borderId="20" xfId="0" applyNumberFormat="1" applyFont="1" applyFill="1" applyBorder="1" applyAlignment="1">
      <alignment vertical="center"/>
    </xf>
    <xf numFmtId="0" fontId="12" fillId="51" borderId="20" xfId="0" applyNumberFormat="1" applyFont="1" applyFill="1" applyBorder="1" applyAlignment="1" applyProtection="1">
      <alignment vertical="center"/>
      <protection locked="0"/>
    </xf>
    <xf numFmtId="0" fontId="12" fillId="51" borderId="20" xfId="0" applyNumberFormat="1" applyFont="1" applyFill="1" applyBorder="1" applyAlignment="1" applyProtection="1">
      <alignment vertical="center"/>
      <protection/>
    </xf>
    <xf numFmtId="204" fontId="12" fillId="51" borderId="20" xfId="0" applyNumberFormat="1" applyFont="1" applyFill="1" applyBorder="1" applyAlignment="1">
      <alignment vertical="center"/>
    </xf>
    <xf numFmtId="204" fontId="46" fillId="7" borderId="47" xfId="0" applyNumberFormat="1" applyFont="1" applyFill="1" applyBorder="1" applyAlignment="1">
      <alignment vertical="center"/>
    </xf>
    <xf numFmtId="0" fontId="46" fillId="51" borderId="38" xfId="0" applyNumberFormat="1" applyFont="1" applyFill="1" applyBorder="1" applyAlignment="1">
      <alignment vertical="center"/>
    </xf>
    <xf numFmtId="0" fontId="46" fillId="51" borderId="38" xfId="0" applyNumberFormat="1" applyFont="1" applyFill="1" applyBorder="1" applyAlignment="1" applyProtection="1">
      <alignment vertical="center"/>
      <protection locked="0"/>
    </xf>
    <xf numFmtId="0" fontId="46" fillId="7" borderId="38" xfId="0" applyNumberFormat="1" applyFont="1" applyFill="1" applyBorder="1" applyAlignment="1" applyProtection="1">
      <alignment vertical="center"/>
      <protection/>
    </xf>
    <xf numFmtId="204" fontId="46" fillId="51" borderId="38" xfId="0" applyNumberFormat="1" applyFont="1" applyFill="1" applyBorder="1" applyAlignment="1">
      <alignment vertical="center"/>
    </xf>
    <xf numFmtId="0" fontId="46" fillId="51" borderId="38" xfId="0" applyFont="1" applyFill="1" applyBorder="1" applyAlignment="1">
      <alignment vertical="center"/>
    </xf>
    <xf numFmtId="0" fontId="177" fillId="51" borderId="38" xfId="0" applyFont="1" applyFill="1" applyBorder="1" applyAlignment="1">
      <alignment vertical="center"/>
    </xf>
    <xf numFmtId="0" fontId="177" fillId="7" borderId="20" xfId="0" applyFont="1" applyFill="1" applyBorder="1" applyAlignment="1">
      <alignment vertical="center"/>
    </xf>
    <xf numFmtId="190" fontId="12" fillId="7" borderId="20" xfId="0" applyNumberFormat="1" applyFont="1" applyFill="1" applyBorder="1" applyAlignment="1">
      <alignment horizontal="center" vertical="center"/>
    </xf>
    <xf numFmtId="0" fontId="44" fillId="36" borderId="0" xfId="0" applyFont="1" applyFill="1" applyBorder="1" applyAlignment="1">
      <alignment/>
    </xf>
    <xf numFmtId="2" fontId="167" fillId="38"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1" fillId="39" borderId="11" xfId="0" applyFont="1" applyFill="1" applyBorder="1" applyAlignment="1">
      <alignment/>
    </xf>
    <xf numFmtId="0" fontId="170" fillId="36" borderId="0" xfId="0" applyFont="1" applyFill="1" applyAlignment="1">
      <alignment/>
    </xf>
    <xf numFmtId="0" fontId="178" fillId="0" borderId="0" xfId="0" applyFont="1" applyAlignment="1">
      <alignment horizontal="center"/>
    </xf>
    <xf numFmtId="4" fontId="48" fillId="36" borderId="20" xfId="0" applyNumberFormat="1" applyFont="1" applyFill="1" applyBorder="1" applyAlignment="1">
      <alignment vertical="center"/>
    </xf>
    <xf numFmtId="4" fontId="48" fillId="33" borderId="20" xfId="0" applyNumberFormat="1" applyFont="1" applyFill="1" applyBorder="1" applyAlignment="1">
      <alignment vertical="center"/>
    </xf>
    <xf numFmtId="4" fontId="48" fillId="0" borderId="20" xfId="43" applyNumberFormat="1" applyFont="1" applyFill="1" applyBorder="1" applyAlignment="1" applyProtection="1">
      <alignment vertical="center"/>
      <protection locked="0"/>
    </xf>
    <xf numFmtId="0" fontId="34" fillId="36" borderId="20" xfId="0" applyFont="1" applyFill="1" applyBorder="1" applyAlignment="1" applyProtection="1">
      <alignment horizontal="center" vertical="center"/>
      <protection/>
    </xf>
    <xf numFmtId="4" fontId="48" fillId="0" borderId="20" xfId="0" applyNumberFormat="1" applyFont="1" applyBorder="1" applyAlignment="1">
      <alignment vertical="center"/>
    </xf>
    <xf numFmtId="0" fontId="72" fillId="36" borderId="20" xfId="0" applyFont="1" applyFill="1" applyBorder="1" applyAlignment="1" applyProtection="1">
      <alignment horizontal="center" vertical="center"/>
      <protection/>
    </xf>
    <xf numFmtId="4" fontId="48" fillId="0" borderId="20" xfId="53" applyNumberFormat="1" applyFont="1" applyFill="1" applyBorder="1" applyAlignment="1" applyProtection="1">
      <alignment vertical="center"/>
      <protection/>
    </xf>
    <xf numFmtId="0" fontId="172" fillId="0" borderId="20" xfId="0" applyFont="1" applyFill="1" applyBorder="1" applyAlignment="1" applyProtection="1">
      <alignment horizontal="center" vertical="center"/>
      <protection/>
    </xf>
    <xf numFmtId="4" fontId="48" fillId="0" borderId="20" xfId="0" applyNumberFormat="1" applyFont="1" applyFill="1" applyBorder="1" applyAlignment="1">
      <alignment vertical="center"/>
    </xf>
    <xf numFmtId="4" fontId="48" fillId="0" borderId="20" xfId="0" applyNumberFormat="1" applyFont="1" applyFill="1" applyBorder="1" applyAlignment="1">
      <alignment horizontal="right" vertical="center"/>
    </xf>
    <xf numFmtId="0" fontId="46" fillId="7" borderId="21" xfId="0" applyNumberFormat="1" applyFont="1" applyFill="1" applyBorder="1" applyAlignment="1" applyProtection="1">
      <alignment vertical="center"/>
      <protection/>
    </xf>
    <xf numFmtId="190" fontId="12" fillId="7" borderId="21" xfId="0" applyNumberFormat="1" applyFont="1" applyFill="1" applyBorder="1" applyAlignment="1" applyProtection="1">
      <alignment horizontal="center" vertical="center"/>
      <protection/>
    </xf>
    <xf numFmtId="0" fontId="12" fillId="7" borderId="21" xfId="0" applyFont="1" applyFill="1" applyBorder="1" applyAlignment="1">
      <alignment horizontal="right" vertical="center"/>
    </xf>
    <xf numFmtId="0" fontId="12" fillId="0" borderId="21" xfId="0" applyFont="1" applyFill="1" applyBorder="1" applyAlignment="1">
      <alignment horizontal="right" vertical="center"/>
    </xf>
    <xf numFmtId="4" fontId="48" fillId="0" borderId="21"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2" fontId="12" fillId="8" borderId="21" xfId="0" applyNumberFormat="1" applyFont="1" applyFill="1" applyBorder="1" applyAlignment="1" applyProtection="1">
      <alignment horizontal="right" vertical="center"/>
      <protection/>
    </xf>
    <xf numFmtId="190" fontId="12" fillId="0" borderId="21" xfId="0" applyNumberFormat="1" applyFont="1" applyFill="1" applyBorder="1" applyAlignment="1" applyProtection="1">
      <alignment horizontal="center" vertical="center"/>
      <protection/>
    </xf>
    <xf numFmtId="4" fontId="48" fillId="0" borderId="20" xfId="40" applyNumberFormat="1" applyFont="1" applyFill="1" applyBorder="1" applyAlignment="1" applyProtection="1">
      <alignment vertical="center"/>
      <protection/>
    </xf>
    <xf numFmtId="0" fontId="179" fillId="7" borderId="20" xfId="0" applyNumberFormat="1" applyFont="1" applyFill="1" applyBorder="1" applyAlignment="1" applyProtection="1">
      <alignment vertical="center"/>
      <protection locked="0"/>
    </xf>
    <xf numFmtId="0" fontId="179" fillId="7" borderId="20" xfId="0" applyFont="1" applyFill="1" applyBorder="1" applyAlignment="1">
      <alignment vertical="center"/>
    </xf>
    <xf numFmtId="0" fontId="179" fillId="7" borderId="20" xfId="0" applyNumberFormat="1" applyFont="1" applyFill="1" applyBorder="1" applyAlignment="1">
      <alignment vertical="center"/>
    </xf>
    <xf numFmtId="0" fontId="178" fillId="0" borderId="20" xfId="0" applyFont="1" applyBorder="1" applyAlignment="1">
      <alignment horizontal="center"/>
    </xf>
    <xf numFmtId="0" fontId="180" fillId="0" borderId="0" xfId="0" applyFont="1" applyAlignment="1">
      <alignment horizontal="center"/>
    </xf>
    <xf numFmtId="0" fontId="34" fillId="0" borderId="20" xfId="0" applyFont="1" applyBorder="1" applyAlignment="1">
      <alignment horizontal="center"/>
    </xf>
    <xf numFmtId="0" fontId="178" fillId="0" borderId="21" xfId="0" applyFont="1" applyBorder="1" applyAlignment="1">
      <alignment horizontal="center"/>
    </xf>
    <xf numFmtId="0" fontId="178" fillId="0" borderId="48" xfId="0" applyFont="1" applyBorder="1" applyAlignment="1">
      <alignment horizontal="center"/>
    </xf>
    <xf numFmtId="0" fontId="34" fillId="0" borderId="21" xfId="0" applyFont="1" applyBorder="1" applyAlignment="1">
      <alignment horizontal="center"/>
    </xf>
    <xf numFmtId="0" fontId="34" fillId="0" borderId="45" xfId="0" applyNumberFormat="1" applyFont="1" applyFill="1" applyBorder="1" applyAlignment="1" applyProtection="1">
      <alignment horizontal="center" vertical="center"/>
      <protection/>
    </xf>
    <xf numFmtId="0" fontId="172" fillId="0" borderId="45" xfId="0" applyNumberFormat="1" applyFont="1" applyFill="1" applyBorder="1" applyAlignment="1" applyProtection="1">
      <alignment horizontal="center" vertical="center"/>
      <protection/>
    </xf>
    <xf numFmtId="204" fontId="46" fillId="7" borderId="45" xfId="0" applyNumberFormat="1" applyFont="1" applyFill="1" applyBorder="1" applyAlignment="1">
      <alignment vertical="center"/>
    </xf>
    <xf numFmtId="0" fontId="12" fillId="7" borderId="45" xfId="0" applyFont="1" applyFill="1" applyBorder="1" applyAlignment="1" applyProtection="1">
      <alignment vertical="center"/>
      <protection/>
    </xf>
    <xf numFmtId="204" fontId="12" fillId="7" borderId="45" xfId="0" applyNumberFormat="1" applyFont="1" applyFill="1" applyBorder="1" applyAlignment="1">
      <alignment vertical="center"/>
    </xf>
    <xf numFmtId="0" fontId="12" fillId="7" borderId="45" xfId="0" applyFont="1" applyFill="1" applyBorder="1" applyAlignment="1">
      <alignment vertical="center"/>
    </xf>
    <xf numFmtId="0" fontId="12" fillId="0" borderId="45" xfId="0" applyFont="1" applyFill="1" applyBorder="1" applyAlignment="1">
      <alignment vertical="center"/>
    </xf>
    <xf numFmtId="4" fontId="46" fillId="0" borderId="45" xfId="43" applyNumberFormat="1" applyFont="1" applyFill="1" applyBorder="1" applyAlignment="1" applyProtection="1">
      <alignment vertical="center"/>
      <protection locked="0"/>
    </xf>
    <xf numFmtId="3" fontId="46" fillId="0" borderId="45" xfId="43" applyNumberFormat="1" applyFont="1" applyFill="1" applyBorder="1" applyAlignment="1" applyProtection="1">
      <alignment vertical="center"/>
      <protection locked="0"/>
    </xf>
    <xf numFmtId="4" fontId="12" fillId="0" borderId="45" xfId="43" applyNumberFormat="1" applyFont="1" applyFill="1" applyBorder="1" applyAlignment="1" applyProtection="1">
      <alignment vertical="center"/>
      <protection locked="0"/>
    </xf>
    <xf numFmtId="3" fontId="12" fillId="0" borderId="45" xfId="43" applyNumberFormat="1" applyFont="1" applyFill="1" applyBorder="1" applyAlignment="1" applyProtection="1">
      <alignment vertical="center"/>
      <protection locked="0"/>
    </xf>
    <xf numFmtId="190" fontId="12" fillId="36" borderId="45" xfId="0" applyNumberFormat="1" applyFont="1" applyFill="1" applyBorder="1" applyAlignment="1" applyProtection="1">
      <alignment horizontal="center" vertical="center"/>
      <protection/>
    </xf>
    <xf numFmtId="0" fontId="12" fillId="0" borderId="20" xfId="0" applyFont="1" applyFill="1" applyBorder="1" applyAlignment="1">
      <alignment horizontal="right" vertical="center" shrinkToFit="1"/>
    </xf>
    <xf numFmtId="4" fontId="46" fillId="36" borderId="20" xfId="43" applyNumberFormat="1" applyFont="1" applyFill="1" applyBorder="1" applyAlignment="1" applyProtection="1">
      <alignment horizontal="right" vertical="center"/>
      <protection locked="0"/>
    </xf>
    <xf numFmtId="3" fontId="46" fillId="36" borderId="20" xfId="43" applyNumberFormat="1" applyFont="1" applyFill="1" applyBorder="1" applyAlignment="1" applyProtection="1">
      <alignment horizontal="right" vertical="center"/>
      <protection locked="0"/>
    </xf>
    <xf numFmtId="4" fontId="12" fillId="36" borderId="20" xfId="43" applyNumberFormat="1" applyFont="1" applyFill="1" applyBorder="1" applyAlignment="1" applyProtection="1">
      <alignment horizontal="right" vertical="center"/>
      <protection locked="0"/>
    </xf>
    <xf numFmtId="3" fontId="12" fillId="36" borderId="20" xfId="43" applyNumberFormat="1" applyFont="1" applyFill="1" applyBorder="1" applyAlignment="1" applyProtection="1">
      <alignment horizontal="right" vertical="center"/>
      <protection locked="0"/>
    </xf>
    <xf numFmtId="4" fontId="46" fillId="33" borderId="20" xfId="0" applyNumberFormat="1" applyFont="1" applyFill="1" applyBorder="1" applyAlignment="1">
      <alignment vertical="center"/>
    </xf>
    <xf numFmtId="3" fontId="46" fillId="33" borderId="20" xfId="0" applyNumberFormat="1" applyFont="1" applyFill="1" applyBorder="1" applyAlignment="1">
      <alignment vertical="center"/>
    </xf>
    <xf numFmtId="190" fontId="12" fillId="36" borderId="20" xfId="0" applyNumberFormat="1" applyFont="1" applyFill="1" applyBorder="1" applyAlignment="1" applyProtection="1">
      <alignment horizontal="center" vertical="center"/>
      <protection/>
    </xf>
    <xf numFmtId="4" fontId="46" fillId="36" borderId="20" xfId="0" applyNumberFormat="1" applyFont="1" applyFill="1" applyBorder="1" applyAlignment="1">
      <alignment horizontal="right"/>
    </xf>
    <xf numFmtId="3" fontId="46" fillId="36" borderId="20" xfId="0" applyNumberFormat="1" applyFont="1" applyFill="1" applyBorder="1" applyAlignment="1">
      <alignment horizontal="right"/>
    </xf>
    <xf numFmtId="4" fontId="12" fillId="36" borderId="20" xfId="0" applyNumberFormat="1" applyFont="1" applyFill="1" applyBorder="1" applyAlignment="1">
      <alignment horizontal="right"/>
    </xf>
    <xf numFmtId="3" fontId="12" fillId="36" borderId="20" xfId="0" applyNumberFormat="1" applyFont="1" applyFill="1" applyBorder="1" applyAlignment="1">
      <alignment horizontal="right"/>
    </xf>
    <xf numFmtId="0" fontId="179" fillId="7" borderId="20" xfId="0" applyFont="1" applyFill="1" applyBorder="1" applyAlignment="1" applyProtection="1">
      <alignment vertical="center"/>
      <protection locked="0"/>
    </xf>
    <xf numFmtId="4" fontId="46" fillId="0" borderId="20" xfId="0" applyNumberFormat="1" applyFont="1" applyBorder="1" applyAlignment="1">
      <alignment vertical="center"/>
    </xf>
    <xf numFmtId="3" fontId="46" fillId="0" borderId="20" xfId="0" applyNumberFormat="1" applyFont="1" applyBorder="1" applyAlignment="1">
      <alignment vertical="center"/>
    </xf>
    <xf numFmtId="1" fontId="12" fillId="0" borderId="20" xfId="0" applyNumberFormat="1" applyFont="1" applyFill="1" applyBorder="1" applyAlignment="1">
      <alignment horizontal="right"/>
    </xf>
    <xf numFmtId="4" fontId="46" fillId="36" borderId="20" xfId="0" applyNumberFormat="1" applyFont="1" applyFill="1" applyBorder="1" applyAlignment="1">
      <alignment horizontal="right" wrapText="1"/>
    </xf>
    <xf numFmtId="4" fontId="12" fillId="36" borderId="20" xfId="0" applyNumberFormat="1" applyFont="1" applyFill="1" applyBorder="1" applyAlignment="1">
      <alignment horizontal="right" wrapText="1"/>
    </xf>
    <xf numFmtId="0" fontId="12" fillId="50" borderId="20" xfId="0" applyFont="1" applyFill="1" applyBorder="1" applyAlignment="1">
      <alignment vertical="center"/>
    </xf>
    <xf numFmtId="204" fontId="179" fillId="7" borderId="20" xfId="0" applyNumberFormat="1" applyFont="1" applyFill="1" applyBorder="1" applyAlignment="1">
      <alignment vertical="center"/>
    </xf>
    <xf numFmtId="0" fontId="181" fillId="7" borderId="20" xfId="0" applyFont="1" applyFill="1" applyBorder="1" applyAlignment="1">
      <alignment vertical="center"/>
    </xf>
    <xf numFmtId="0" fontId="179" fillId="7" borderId="20" xfId="0" applyNumberFormat="1" applyFont="1" applyFill="1" applyBorder="1" applyAlignment="1" applyProtection="1">
      <alignment vertical="center"/>
      <protection/>
    </xf>
    <xf numFmtId="4" fontId="46" fillId="36" borderId="20" xfId="44" applyNumberFormat="1" applyFont="1" applyFill="1" applyBorder="1" applyAlignment="1" applyProtection="1">
      <alignment horizontal="right" vertical="center"/>
      <protection locked="0"/>
    </xf>
    <xf numFmtId="3" fontId="46" fillId="36" borderId="20" xfId="44" applyNumberFormat="1" applyFont="1" applyFill="1" applyBorder="1" applyAlignment="1" applyProtection="1">
      <alignment horizontal="right" vertical="center"/>
      <protection locked="0"/>
    </xf>
    <xf numFmtId="4" fontId="12" fillId="36" borderId="20" xfId="44" applyNumberFormat="1" applyFont="1" applyFill="1" applyBorder="1" applyAlignment="1" applyProtection="1">
      <alignment horizontal="right" vertical="center"/>
      <protection locked="0"/>
    </xf>
    <xf numFmtId="3" fontId="12" fillId="36" borderId="20" xfId="44" applyNumberFormat="1" applyFont="1" applyFill="1" applyBorder="1" applyAlignment="1" applyProtection="1">
      <alignment horizontal="right" vertical="center"/>
      <protection locked="0"/>
    </xf>
    <xf numFmtId="0" fontId="179" fillId="7" borderId="20" xfId="0" applyFont="1" applyFill="1" applyBorder="1" applyAlignment="1">
      <alignment vertical="center"/>
    </xf>
    <xf numFmtId="0" fontId="10" fillId="0" borderId="20" xfId="0" applyFont="1" applyFill="1" applyBorder="1" applyAlignment="1" applyProtection="1">
      <alignment horizontal="center" vertical="center"/>
      <protection/>
    </xf>
    <xf numFmtId="204" fontId="172" fillId="0" borderId="20" xfId="0" applyNumberFormat="1" applyFont="1" applyFill="1" applyBorder="1" applyAlignment="1" applyProtection="1">
      <alignment horizontal="center" vertical="center"/>
      <protection/>
    </xf>
    <xf numFmtId="4" fontId="46" fillId="36" borderId="20" xfId="0" applyNumberFormat="1" applyFont="1" applyFill="1" applyBorder="1" applyAlignment="1">
      <alignment vertical="center"/>
    </xf>
    <xf numFmtId="3" fontId="46" fillId="36" borderId="20" xfId="0" applyNumberFormat="1" applyFont="1" applyFill="1" applyBorder="1" applyAlignment="1">
      <alignment vertical="center"/>
    </xf>
    <xf numFmtId="4" fontId="46" fillId="36" borderId="20" xfId="43" applyNumberFormat="1" applyFont="1" applyFill="1" applyBorder="1" applyAlignment="1" applyProtection="1">
      <alignment horizontal="right" vertical="center"/>
      <protection/>
    </xf>
    <xf numFmtId="3" fontId="46" fillId="36" borderId="20" xfId="43" applyNumberFormat="1" applyFont="1" applyFill="1" applyBorder="1" applyAlignment="1" applyProtection="1">
      <alignment horizontal="right" vertical="center"/>
      <protection/>
    </xf>
    <xf numFmtId="4" fontId="12" fillId="36" borderId="20" xfId="43" applyNumberFormat="1" applyFont="1" applyFill="1" applyBorder="1" applyAlignment="1" applyProtection="1">
      <alignment horizontal="right" vertical="center"/>
      <protection/>
    </xf>
    <xf numFmtId="3" fontId="12" fillId="36" borderId="20" xfId="0" applyNumberFormat="1" applyFont="1" applyFill="1" applyBorder="1" applyAlignment="1">
      <alignment horizontal="right" vertical="center"/>
    </xf>
    <xf numFmtId="4" fontId="46" fillId="0" borderId="20" xfId="43" applyNumberFormat="1" applyFont="1" applyFill="1" applyBorder="1" applyAlignment="1" applyProtection="1">
      <alignment vertical="center"/>
      <protection/>
    </xf>
    <xf numFmtId="3" fontId="46" fillId="0" borderId="20" xfId="43" applyNumberFormat="1" applyFont="1" applyFill="1" applyBorder="1" applyAlignment="1" applyProtection="1">
      <alignment vertical="center"/>
      <protection/>
    </xf>
    <xf numFmtId="204" fontId="172" fillId="33" borderId="20" xfId="0" applyNumberFormat="1" applyFont="1" applyFill="1" applyBorder="1" applyAlignment="1" applyProtection="1">
      <alignment horizontal="center" vertical="center"/>
      <protection/>
    </xf>
    <xf numFmtId="0" fontId="12" fillId="7" borderId="20" xfId="0" applyFont="1" applyFill="1" applyBorder="1" applyAlignment="1">
      <alignment horizontal="right" vertical="center" shrinkToFit="1"/>
    </xf>
    <xf numFmtId="0" fontId="173" fillId="33" borderId="20" xfId="0" applyFont="1" applyFill="1" applyBorder="1" applyAlignment="1" applyProtection="1">
      <alignment horizontal="center" vertical="center"/>
      <protection/>
    </xf>
    <xf numFmtId="0" fontId="182" fillId="7" borderId="20" xfId="0" applyFont="1" applyFill="1" applyBorder="1" applyAlignment="1">
      <alignment vertical="center"/>
    </xf>
    <xf numFmtId="0" fontId="12" fillId="0" borderId="20" xfId="0" applyFont="1" applyFill="1" applyBorder="1" applyAlignment="1">
      <alignment horizontal="right"/>
    </xf>
    <xf numFmtId="0" fontId="9" fillId="33" borderId="20" xfId="0" applyFont="1" applyFill="1" applyBorder="1" applyAlignment="1" applyProtection="1">
      <alignment horizontal="left" vertical="center"/>
      <protection/>
    </xf>
    <xf numFmtId="0" fontId="9" fillId="36" borderId="20" xfId="0" applyFont="1" applyFill="1" applyBorder="1" applyAlignment="1" applyProtection="1">
      <alignment horizontal="left" vertical="center"/>
      <protection/>
    </xf>
    <xf numFmtId="0" fontId="172" fillId="41" borderId="45" xfId="0" applyNumberFormat="1" applyFont="1" applyFill="1" applyBorder="1" applyAlignment="1" applyProtection="1">
      <alignment horizontal="center" vertical="center"/>
      <protection/>
    </xf>
    <xf numFmtId="0" fontId="179" fillId="7" borderId="45" xfId="0" applyNumberFormat="1" applyFont="1" applyFill="1" applyBorder="1" applyAlignment="1" applyProtection="1">
      <alignment vertical="center"/>
      <protection locked="0"/>
    </xf>
    <xf numFmtId="190" fontId="12" fillId="7" borderId="45" xfId="0" applyNumberFormat="1" applyFont="1" applyFill="1" applyBorder="1" applyAlignment="1" applyProtection="1">
      <alignment horizontal="center" vertical="center"/>
      <protection/>
    </xf>
    <xf numFmtId="0" fontId="12" fillId="7" borderId="45" xfId="0" applyNumberFormat="1" applyFont="1" applyFill="1" applyBorder="1" applyAlignment="1" applyProtection="1">
      <alignment vertical="center"/>
      <protection locked="0"/>
    </xf>
    <xf numFmtId="0" fontId="12" fillId="0" borderId="45" xfId="0" applyNumberFormat="1" applyFont="1" applyFill="1" applyBorder="1" applyAlignment="1" applyProtection="1">
      <alignment vertical="center"/>
      <protection locked="0"/>
    </xf>
    <xf numFmtId="204" fontId="172" fillId="0" borderId="45" xfId="0" applyNumberFormat="1" applyFont="1" applyFill="1" applyBorder="1" applyAlignment="1" applyProtection="1">
      <alignment horizontal="center" vertical="center"/>
      <protection/>
    </xf>
    <xf numFmtId="0" fontId="34" fillId="0" borderId="0" xfId="0" applyFont="1" applyAlignment="1">
      <alignment horizontal="center" wrapText="1"/>
    </xf>
    <xf numFmtId="0" fontId="34" fillId="0" borderId="0" xfId="0" applyFont="1" applyAlignment="1">
      <alignment horizontal="center"/>
    </xf>
    <xf numFmtId="0" fontId="34" fillId="0" borderId="11" xfId="0" applyFont="1" applyBorder="1" applyAlignment="1">
      <alignment horizontal="center"/>
    </xf>
    <xf numFmtId="0" fontId="16" fillId="35" borderId="34" xfId="0" applyFont="1" applyFill="1" applyBorder="1" applyAlignment="1" applyProtection="1">
      <alignment horizontal="center" vertical="center" wrapText="1"/>
      <protection/>
    </xf>
    <xf numFmtId="0" fontId="16" fillId="35" borderId="49" xfId="0" applyFont="1" applyFill="1" applyBorder="1" applyAlignment="1" applyProtection="1">
      <alignment horizontal="center" vertical="center" wrapText="1"/>
      <protection/>
    </xf>
    <xf numFmtId="0" fontId="183" fillId="48" borderId="20" xfId="0" applyFont="1" applyFill="1" applyBorder="1" applyAlignment="1" applyProtection="1">
      <alignment horizontal="left" vertical="center" wrapText="1"/>
      <protection/>
    </xf>
    <xf numFmtId="0" fontId="183" fillId="49" borderId="20" xfId="0" applyFont="1" applyFill="1" applyBorder="1" applyAlignment="1" applyProtection="1">
      <alignment horizontal="left" vertical="center" wrapText="1"/>
      <protection/>
    </xf>
    <xf numFmtId="0" fontId="46" fillId="45" borderId="20" xfId="0" applyFont="1" applyFill="1" applyBorder="1" applyAlignment="1" applyProtection="1">
      <alignment horizontal="left" vertical="center" wrapText="1"/>
      <protection/>
    </xf>
    <xf numFmtId="0" fontId="46" fillId="37" borderId="20" xfId="0" applyFont="1" applyFill="1" applyBorder="1" applyAlignment="1" applyProtection="1">
      <alignment horizontal="left" vertical="center" wrapText="1"/>
      <protection/>
    </xf>
    <xf numFmtId="0" fontId="46" fillId="37" borderId="20" xfId="0" applyFont="1" applyFill="1" applyBorder="1" applyAlignment="1">
      <alignment horizontal="left" vertical="center" wrapText="1"/>
    </xf>
    <xf numFmtId="1" fontId="11"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20"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1" fontId="32" fillId="33" borderId="11" xfId="51" applyNumberFormat="1"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wrapText="1"/>
      <protection/>
    </xf>
    <xf numFmtId="190" fontId="56" fillId="33" borderId="5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50" xfId="0" applyFont="1" applyFill="1" applyBorder="1" applyAlignment="1" applyProtection="1">
      <alignment vertical="center" wrapText="1"/>
      <protection/>
    </xf>
    <xf numFmtId="0" fontId="17" fillId="34" borderId="16" xfId="0" applyFont="1" applyFill="1" applyBorder="1" applyAlignment="1" applyProtection="1">
      <alignment horizontal="center" vertical="center" wrapText="1"/>
      <protection/>
    </xf>
    <xf numFmtId="0" fontId="17" fillId="34" borderId="51" xfId="0" applyFont="1" applyFill="1" applyBorder="1" applyAlignment="1" applyProtection="1">
      <alignment horizontal="center" vertical="center" wrapText="1"/>
      <protection/>
    </xf>
    <xf numFmtId="0" fontId="17" fillId="34" borderId="52" xfId="0" applyFont="1" applyFill="1" applyBorder="1" applyAlignment="1" applyProtection="1">
      <alignment horizontal="center" vertical="center" wrapText="1"/>
      <protection/>
    </xf>
    <xf numFmtId="0" fontId="183" fillId="46" borderId="20" xfId="0" applyFont="1" applyFill="1" applyBorder="1" applyAlignment="1" applyProtection="1">
      <alignment horizontal="left" vertical="center" wrapText="1"/>
      <protection/>
    </xf>
    <xf numFmtId="0" fontId="183" fillId="46" borderId="20" xfId="0" applyFont="1" applyFill="1" applyBorder="1" applyAlignment="1">
      <alignment horizontal="left" vertical="center" wrapText="1"/>
    </xf>
    <xf numFmtId="3" fontId="38" fillId="33" borderId="0" xfId="0" applyNumberFormat="1" applyFont="1" applyFill="1" applyBorder="1" applyAlignment="1" applyProtection="1">
      <alignment horizontal="right" vertical="center" wrapText="1"/>
      <protection/>
    </xf>
    <xf numFmtId="0" fontId="50" fillId="0" borderId="0" xfId="0" applyFont="1" applyAlignment="1">
      <alignment vertical="center" wrapText="1"/>
    </xf>
    <xf numFmtId="2" fontId="36" fillId="36" borderId="0" xfId="0" applyNumberFormat="1" applyFont="1" applyFill="1" applyBorder="1" applyAlignment="1">
      <alignment horizontal="right" vertical="center" wrapText="1" indent="1"/>
    </xf>
    <xf numFmtId="4" fontId="26" fillId="36" borderId="0" xfId="0" applyNumberFormat="1" applyFont="1" applyFill="1" applyBorder="1" applyAlignment="1">
      <alignment horizontal="right" vertical="center" wrapText="1" indent="1"/>
    </xf>
    <xf numFmtId="0" fontId="57" fillId="14" borderId="53" xfId="0" applyFont="1" applyFill="1" applyBorder="1" applyAlignment="1" applyProtection="1">
      <alignment horizontal="center" vertical="center" wrapText="1"/>
      <protection/>
    </xf>
    <xf numFmtId="0" fontId="59" fillId="14" borderId="53" xfId="0" applyFont="1" applyFill="1" applyBorder="1" applyAlignment="1" applyProtection="1">
      <alignment horizontal="center" vertical="center" wrapText="1"/>
      <protection/>
    </xf>
    <xf numFmtId="0" fontId="60" fillId="0" borderId="0" xfId="0" applyFont="1" applyBorder="1" applyAlignment="1">
      <alignment horizontal="center" vertical="center" wrapText="1"/>
    </xf>
    <xf numFmtId="0" fontId="37" fillId="36" borderId="0" xfId="0" applyFont="1" applyFill="1" applyBorder="1" applyAlignment="1" applyProtection="1">
      <alignment horizontal="center" vertical="center" wrapText="1"/>
      <protection/>
    </xf>
    <xf numFmtId="3" fontId="45" fillId="36" borderId="0" xfId="0" applyNumberFormat="1" applyFont="1" applyFill="1" applyBorder="1" applyAlignment="1" applyProtection="1">
      <alignment horizontal="center" vertical="center" wrapText="1"/>
      <protection/>
    </xf>
    <xf numFmtId="0" fontId="44"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6" fillId="34" borderId="10" xfId="0" applyFont="1" applyFill="1" applyBorder="1" applyAlignment="1" applyProtection="1">
      <alignment horizontal="center" vertical="center" wrapText="1"/>
      <protection/>
    </xf>
    <xf numFmtId="0" fontId="44" fillId="36" borderId="0" xfId="0" applyFont="1" applyFill="1" applyBorder="1" applyAlignment="1">
      <alignment horizontal="center" wrapText="1"/>
    </xf>
    <xf numFmtId="0" fontId="54" fillId="33" borderId="0" xfId="51" applyFont="1" applyFill="1" applyBorder="1" applyAlignment="1" applyProtection="1">
      <alignment horizontal="center" vertical="center" wrapText="1"/>
      <protection/>
    </xf>
    <xf numFmtId="0" fontId="28" fillId="33" borderId="0" xfId="0" applyFont="1" applyFill="1" applyBorder="1" applyAlignment="1">
      <alignment horizontal="center" vertical="center" wrapText="1"/>
    </xf>
    <xf numFmtId="0" fontId="16" fillId="35" borderId="23"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3" fontId="26" fillId="36" borderId="0" xfId="0" applyNumberFormat="1" applyFont="1" applyFill="1" applyBorder="1" applyAlignment="1" applyProtection="1">
      <alignment horizontal="right" vertical="center" wrapText="1" indent="1"/>
      <protection/>
    </xf>
    <xf numFmtId="0" fontId="16" fillId="34" borderId="35" xfId="40" applyNumberFormat="1" applyFont="1" applyFill="1" applyBorder="1" applyAlignment="1" applyProtection="1">
      <alignment horizontal="center" wrapText="1"/>
      <protection/>
    </xf>
    <xf numFmtId="0" fontId="0" fillId="0" borderId="54" xfId="0" applyNumberFormat="1" applyBorder="1" applyAlignment="1">
      <alignment horizontal="center" wrapText="1"/>
    </xf>
    <xf numFmtId="0" fontId="0" fillId="0" borderId="55" xfId="0" applyNumberFormat="1" applyBorder="1" applyAlignment="1">
      <alignment horizontal="center" wrapText="1"/>
    </xf>
    <xf numFmtId="0" fontId="16" fillId="34" borderId="33" xfId="40" applyNumberFormat="1" applyFont="1" applyFill="1" applyBorder="1" applyAlignment="1" applyProtection="1">
      <alignment horizontal="center" wrapText="1"/>
      <protection/>
    </xf>
    <xf numFmtId="0" fontId="0" fillId="0" borderId="56" xfId="0" applyNumberFormat="1" applyBorder="1" applyAlignment="1">
      <alignment horizontal="center" wrapText="1"/>
    </xf>
    <xf numFmtId="0" fontId="0" fillId="0" borderId="57" xfId="0" applyNumberFormat="1" applyBorder="1" applyAlignment="1">
      <alignment horizontal="center" wrapText="1"/>
    </xf>
    <xf numFmtId="0" fontId="46" fillId="43" borderId="20" xfId="0" applyFont="1" applyFill="1" applyBorder="1" applyAlignment="1" applyProtection="1">
      <alignment horizontal="left" vertical="center" wrapText="1"/>
      <protection/>
    </xf>
    <xf numFmtId="0" fontId="26" fillId="33" borderId="58" xfId="0" applyFont="1" applyFill="1" applyBorder="1" applyAlignment="1" applyProtection="1">
      <alignment horizontal="center" vertical="center" wrapText="1"/>
      <protection/>
    </xf>
    <xf numFmtId="190" fontId="26" fillId="33" borderId="58" xfId="0" applyNumberFormat="1" applyFont="1" applyFill="1" applyBorder="1" applyAlignment="1" applyProtection="1">
      <alignment horizontal="center" vertical="center" wrapText="1"/>
      <protection/>
    </xf>
    <xf numFmtId="0" fontId="46" fillId="42" borderId="20" xfId="0" applyFont="1" applyFill="1" applyBorder="1" applyAlignment="1" applyProtection="1">
      <alignment horizontal="left" vertical="center" wrapText="1"/>
      <protection/>
    </xf>
    <xf numFmtId="0" fontId="183" fillId="47" borderId="20" xfId="0" applyFont="1" applyFill="1" applyBorder="1" applyAlignment="1" applyProtection="1">
      <alignment horizontal="left" vertical="center" wrapText="1"/>
      <protection/>
    </xf>
    <xf numFmtId="190" fontId="14" fillId="33" borderId="59" xfId="0" applyNumberFormat="1" applyFont="1" applyFill="1" applyBorder="1" applyAlignment="1" applyProtection="1">
      <alignment horizontal="left" vertical="center" wrapText="1"/>
      <protection/>
    </xf>
    <xf numFmtId="0" fontId="0" fillId="33" borderId="53" xfId="0" applyFill="1" applyBorder="1" applyAlignment="1" applyProtection="1">
      <alignment vertical="center" wrapText="1"/>
      <protection/>
    </xf>
    <xf numFmtId="0" fontId="0" fillId="33" borderId="60" xfId="0" applyFill="1" applyBorder="1" applyAlignment="1" applyProtection="1">
      <alignment vertical="center" wrapText="1"/>
      <protection/>
    </xf>
    <xf numFmtId="0" fontId="0" fillId="33" borderId="50"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61" xfId="0"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184" fillId="14" borderId="11" xfId="0" applyFont="1" applyFill="1" applyBorder="1" applyAlignment="1" applyProtection="1">
      <alignment horizontal="center" vertical="center" wrapText="1"/>
      <protection/>
    </xf>
    <xf numFmtId="0" fontId="185" fillId="14" borderId="0" xfId="0" applyFont="1" applyFill="1" applyBorder="1" applyAlignment="1">
      <alignment horizontal="center" vertical="center" wrapText="1"/>
    </xf>
    <xf numFmtId="0" fontId="185" fillId="14" borderId="11" xfId="0" applyFont="1" applyFill="1" applyBorder="1" applyAlignment="1">
      <alignment horizontal="center" vertical="center" wrapText="1"/>
    </xf>
    <xf numFmtId="0" fontId="16" fillId="33" borderId="23"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1" fontId="41" fillId="33" borderId="0" xfId="0" applyNumberFormat="1"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2" fillId="14" borderId="0" xfId="0" applyFont="1" applyFill="1" applyBorder="1" applyAlignment="1" applyProtection="1">
      <alignment horizontal="center" vertical="center" wrapText="1"/>
      <protection/>
    </xf>
    <xf numFmtId="0" fontId="63" fillId="14" borderId="0"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17" fillId="33" borderId="16" xfId="0" applyFont="1" applyFill="1" applyBorder="1" applyAlignment="1" applyProtection="1">
      <alignment horizontal="center" vertical="center" wrapText="1"/>
      <protection/>
    </xf>
    <xf numFmtId="0" fontId="160" fillId="52" borderId="63" xfId="0" applyFont="1" applyFill="1" applyBorder="1" applyAlignment="1">
      <alignment horizontal="center" wrapText="1"/>
    </xf>
    <xf numFmtId="0" fontId="0" fillId="0" borderId="64" xfId="0" applyBorder="1" applyAlignment="1">
      <alignment wrapText="1"/>
    </xf>
    <xf numFmtId="0" fontId="0" fillId="0" borderId="65" xfId="0" applyBorder="1" applyAlignment="1">
      <alignment wrapText="1"/>
    </xf>
    <xf numFmtId="0" fontId="178" fillId="0" borderId="66" xfId="0" applyFont="1" applyBorder="1" applyAlignment="1">
      <alignment horizontal="center" wrapText="1"/>
    </xf>
    <xf numFmtId="0" fontId="178" fillId="0" borderId="67" xfId="0" applyFont="1" applyBorder="1" applyAlignment="1">
      <alignment horizontal="center" wrapText="1"/>
    </xf>
    <xf numFmtId="0" fontId="178" fillId="0" borderId="68" xfId="0" applyFont="1" applyBorder="1" applyAlignment="1">
      <alignment horizontal="center" wrapText="1"/>
    </xf>
    <xf numFmtId="0" fontId="160" fillId="52" borderId="0" xfId="0" applyNumberFormat="1" applyFont="1" applyFill="1" applyAlignment="1">
      <alignment horizontal="center" wrapText="1"/>
    </xf>
    <xf numFmtId="0" fontId="178" fillId="0" borderId="58" xfId="0" applyFont="1" applyBorder="1" applyAlignment="1">
      <alignment horizontal="center" wrapText="1"/>
    </xf>
    <xf numFmtId="0" fontId="186" fillId="5" borderId="69" xfId="0" applyFont="1" applyFill="1" applyBorder="1" applyAlignment="1">
      <alignment horizontal="center" wrapText="1"/>
    </xf>
    <xf numFmtId="0" fontId="187" fillId="5" borderId="69" xfId="0" applyFont="1" applyFill="1" applyBorder="1" applyAlignment="1">
      <alignment horizontal="center" wrapText="1"/>
    </xf>
    <xf numFmtId="9" fontId="186" fillId="0" borderId="70" xfId="0" applyNumberFormat="1" applyFont="1" applyBorder="1" applyAlignment="1">
      <alignment horizontal="center" vertical="center" wrapText="1"/>
    </xf>
    <xf numFmtId="9" fontId="187" fillId="0" borderId="71" xfId="0" applyNumberFormat="1" applyFont="1" applyBorder="1" applyAlignment="1">
      <alignment horizontal="center" vertical="center" wrapText="1"/>
    </xf>
    <xf numFmtId="9" fontId="188" fillId="0" borderId="70" xfId="0" applyNumberFormat="1" applyFont="1" applyBorder="1" applyAlignment="1">
      <alignment horizontal="center" vertical="center" wrapText="1"/>
    </xf>
    <xf numFmtId="9" fontId="189" fillId="0" borderId="71" xfId="0" applyNumberFormat="1" applyFont="1" applyBorder="1" applyAlignment="1">
      <alignment horizontal="center" vertical="center" wrapText="1"/>
    </xf>
    <xf numFmtId="0" fontId="190" fillId="47" borderId="0" xfId="0" applyFont="1" applyFill="1" applyAlignment="1">
      <alignment horizontal="center" wrapText="1"/>
    </xf>
    <xf numFmtId="0" fontId="191" fillId="47" borderId="0" xfId="0" applyFont="1" applyFill="1" applyAlignment="1">
      <alignment horizontal="center" wrapText="1"/>
    </xf>
    <xf numFmtId="0" fontId="167" fillId="52" borderId="0" xfId="0" applyFont="1" applyFill="1" applyAlignment="1">
      <alignment horizontal="center" wrapText="1"/>
    </xf>
    <xf numFmtId="0" fontId="34" fillId="0" borderId="11" xfId="0" applyFont="1" applyBorder="1" applyAlignment="1">
      <alignment horizontal="center" wrapText="1"/>
    </xf>
    <xf numFmtId="4" fontId="12" fillId="0" borderId="19" xfId="0" applyNumberFormat="1" applyFont="1" applyFill="1" applyBorder="1" applyAlignment="1">
      <alignment vertical="center"/>
    </xf>
    <xf numFmtId="3" fontId="12" fillId="0" borderId="19" xfId="0" applyNumberFormat="1" applyFont="1" applyFill="1" applyBorder="1" applyAlignment="1">
      <alignment vertical="center"/>
    </xf>
    <xf numFmtId="3" fontId="12" fillId="8" borderId="45" xfId="70" applyNumberFormat="1" applyFont="1" applyFill="1" applyBorder="1" applyAlignment="1" applyProtection="1">
      <alignment vertical="center"/>
      <protection/>
    </xf>
    <xf numFmtId="2" fontId="12" fillId="8" borderId="45" xfId="70" applyNumberFormat="1" applyFont="1" applyFill="1" applyBorder="1" applyAlignment="1" applyProtection="1">
      <alignment vertical="center"/>
      <protection/>
    </xf>
    <xf numFmtId="4" fontId="12" fillId="0" borderId="45" xfId="43" applyNumberFormat="1" applyFont="1" applyFill="1" applyBorder="1" applyAlignment="1" applyProtection="1">
      <alignment vertical="center"/>
      <protection/>
    </xf>
    <xf numFmtId="9" fontId="12" fillId="8" borderId="45" xfId="70" applyNumberFormat="1" applyFont="1" applyFill="1" applyBorder="1" applyAlignment="1" applyProtection="1">
      <alignment vertical="center"/>
      <protection/>
    </xf>
    <xf numFmtId="4" fontId="12" fillId="8" borderId="45" xfId="70" applyNumberFormat="1" applyFont="1" applyFill="1" applyBorder="1" applyAlignment="1" applyProtection="1">
      <alignment vertical="center"/>
      <protection/>
    </xf>
    <xf numFmtId="2" fontId="12" fillId="8" borderId="45" xfId="0" applyNumberFormat="1" applyFont="1" applyFill="1" applyBorder="1" applyAlignment="1" applyProtection="1">
      <alignment vertical="center"/>
      <protection/>
    </xf>
    <xf numFmtId="0" fontId="192" fillId="33" borderId="20" xfId="0" applyNumberFormat="1" applyFont="1" applyFill="1" applyBorder="1" applyAlignment="1" applyProtection="1">
      <alignment horizontal="center" vertical="center"/>
      <protection/>
    </xf>
    <xf numFmtId="0" fontId="146" fillId="36" borderId="20" xfId="0" applyNumberFormat="1" applyFont="1" applyFill="1" applyBorder="1" applyAlignment="1" applyProtection="1">
      <alignment horizontal="center" vertical="center"/>
      <protection/>
    </xf>
    <xf numFmtId="0" fontId="192" fillId="36" borderId="20" xfId="0" applyNumberFormat="1" applyFont="1" applyFill="1" applyBorder="1" applyAlignment="1" applyProtection="1">
      <alignment horizontal="center" vertical="center"/>
      <protection/>
    </xf>
    <xf numFmtId="0" fontId="192" fillId="0" borderId="20" xfId="0" applyNumberFormat="1" applyFont="1" applyFill="1" applyBorder="1" applyAlignment="1" applyProtection="1">
      <alignment horizontal="center" vertical="center"/>
      <protection/>
    </xf>
    <xf numFmtId="0" fontId="192" fillId="47" borderId="20" xfId="0" applyNumberFormat="1" applyFont="1" applyFill="1" applyBorder="1" applyAlignment="1" applyProtection="1">
      <alignment horizontal="center" vertical="center"/>
      <protection/>
    </xf>
    <xf numFmtId="0" fontId="192" fillId="41" borderId="20" xfId="0" applyNumberFormat="1" applyFont="1" applyFill="1" applyBorder="1" applyAlignment="1" applyProtection="1">
      <alignment horizontal="center" vertical="center"/>
      <protection/>
    </xf>
    <xf numFmtId="0" fontId="192" fillId="44" borderId="20" xfId="0" applyNumberFormat="1" applyFont="1" applyFill="1" applyBorder="1" applyAlignment="1" applyProtection="1">
      <alignment horizontal="center" vertical="center"/>
      <protection/>
    </xf>
    <xf numFmtId="0" fontId="146" fillId="0" borderId="20" xfId="0" applyNumberFormat="1" applyFont="1" applyFill="1" applyBorder="1" applyAlignment="1" applyProtection="1">
      <alignment horizontal="center" vertical="center"/>
      <protection/>
    </xf>
    <xf numFmtId="0" fontId="146" fillId="45" borderId="20" xfId="0" applyNumberFormat="1" applyFont="1" applyFill="1" applyBorder="1" applyAlignment="1" applyProtection="1">
      <alignment horizontal="center" vertical="center"/>
      <protection/>
    </xf>
    <xf numFmtId="0" fontId="193" fillId="36" borderId="20" xfId="0" applyFont="1" applyFill="1" applyBorder="1" applyAlignment="1" applyProtection="1">
      <alignment horizontal="center" vertical="center"/>
      <protection/>
    </xf>
    <xf numFmtId="0" fontId="193" fillId="33" borderId="20" xfId="0" applyFont="1" applyFill="1" applyBorder="1" applyAlignment="1" applyProtection="1">
      <alignment horizontal="center" vertical="center"/>
      <protection/>
    </xf>
    <xf numFmtId="0" fontId="12" fillId="36" borderId="20" xfId="0" applyFont="1" applyFill="1" applyBorder="1" applyAlignment="1" applyProtection="1">
      <alignment horizontal="center" vertical="center"/>
      <protection/>
    </xf>
    <xf numFmtId="0" fontId="146" fillId="43" borderId="20" xfId="0" applyNumberFormat="1" applyFont="1" applyFill="1" applyBorder="1" applyAlignment="1" applyProtection="1">
      <alignment horizontal="center" vertical="center"/>
      <protection/>
    </xf>
    <xf numFmtId="0" fontId="146" fillId="37" borderId="20" xfId="0" applyNumberFormat="1"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93" fillId="0" borderId="20" xfId="0" applyFont="1" applyFill="1" applyBorder="1" applyAlignment="1" applyProtection="1">
      <alignment horizontal="center" vertical="center"/>
      <protection/>
    </xf>
    <xf numFmtId="0" fontId="146" fillId="42" borderId="20" xfId="0" applyNumberFormat="1" applyFont="1" applyFill="1" applyBorder="1" applyAlignment="1" applyProtection="1">
      <alignment horizontal="center" vertical="center"/>
      <protection/>
    </xf>
    <xf numFmtId="4" fontId="12" fillId="36" borderId="20" xfId="0" applyNumberFormat="1" applyFont="1" applyFill="1" applyBorder="1" applyAlignment="1">
      <alignment horizontal="right" vertical="center"/>
    </xf>
    <xf numFmtId="4" fontId="12" fillId="36" borderId="20" xfId="42" applyNumberFormat="1" applyFont="1" applyFill="1" applyBorder="1" applyAlignment="1" applyProtection="1">
      <alignment horizontal="right" vertical="center"/>
      <protection locked="0"/>
    </xf>
    <xf numFmtId="3" fontId="12" fillId="36" borderId="20" xfId="42" applyNumberFormat="1" applyFont="1" applyFill="1" applyBorder="1" applyAlignment="1" applyProtection="1">
      <alignment horizontal="right" vertical="center"/>
      <protection locked="0"/>
    </xf>
    <xf numFmtId="4" fontId="12" fillId="36" borderId="20" xfId="40" applyNumberFormat="1" applyFont="1" applyFill="1" applyBorder="1" applyAlignment="1" applyProtection="1">
      <alignment horizontal="right" vertical="center"/>
      <protection locked="0"/>
    </xf>
    <xf numFmtId="3" fontId="12" fillId="36" borderId="20" xfId="40" applyNumberFormat="1" applyFont="1" applyFill="1" applyBorder="1" applyAlignment="1" applyProtection="1">
      <alignment horizontal="right" vertical="center"/>
      <protection locked="0"/>
    </xf>
    <xf numFmtId="4" fontId="12" fillId="36" borderId="20" xfId="40" applyNumberFormat="1" applyFont="1" applyFill="1" applyBorder="1" applyAlignment="1">
      <alignment horizontal="right" vertical="center"/>
    </xf>
    <xf numFmtId="3" fontId="12" fillId="36" borderId="20" xfId="40" applyNumberFormat="1" applyFont="1" applyFill="1" applyBorder="1" applyAlignment="1">
      <alignment horizontal="right" vertical="center"/>
    </xf>
    <xf numFmtId="4" fontId="12" fillId="36" borderId="20" xfId="43" applyNumberFormat="1" applyFont="1" applyFill="1" applyBorder="1" applyAlignment="1">
      <alignment horizontal="right" vertical="center"/>
    </xf>
    <xf numFmtId="3" fontId="12" fillId="36" borderId="20" xfId="43" applyNumberFormat="1" applyFont="1" applyFill="1" applyBorder="1" applyAlignment="1">
      <alignment horizontal="right" vertical="center"/>
    </xf>
    <xf numFmtId="0" fontId="165" fillId="0" borderId="20" xfId="0" applyFont="1" applyFill="1" applyBorder="1" applyAlignment="1" applyProtection="1">
      <alignment horizontal="center" vertical="center"/>
      <protection/>
    </xf>
    <xf numFmtId="0" fontId="194" fillId="0" borderId="20" xfId="0" applyFont="1" applyFill="1" applyBorder="1" applyAlignment="1" applyProtection="1">
      <alignment horizontal="center" vertical="center"/>
      <protection/>
    </xf>
    <xf numFmtId="3" fontId="12" fillId="0" borderId="20" xfId="40" applyNumberFormat="1" applyFont="1" applyFill="1" applyBorder="1" applyAlignment="1" applyProtection="1">
      <alignment vertical="center"/>
      <protection/>
    </xf>
    <xf numFmtId="4" fontId="46" fillId="8" borderId="20" xfId="0" applyNumberFormat="1" applyFont="1" applyFill="1" applyBorder="1" applyAlignment="1">
      <alignment vertical="center"/>
    </xf>
    <xf numFmtId="3" fontId="46" fillId="8" borderId="20" xfId="0" applyNumberFormat="1" applyFont="1" applyFill="1" applyBorder="1" applyAlignment="1">
      <alignment vertical="center"/>
    </xf>
    <xf numFmtId="4" fontId="46" fillId="8" borderId="20" xfId="0" applyNumberFormat="1" applyFont="1" applyFill="1" applyBorder="1" applyAlignment="1">
      <alignment horizontal="right" vertical="center"/>
    </xf>
    <xf numFmtId="3" fontId="46" fillId="8" borderId="20" xfId="0" applyNumberFormat="1" applyFont="1" applyFill="1" applyBorder="1" applyAlignment="1">
      <alignment horizontal="right" vertical="center"/>
    </xf>
    <xf numFmtId="0" fontId="192" fillId="33" borderId="45" xfId="0" applyNumberFormat="1" applyFont="1" applyFill="1" applyBorder="1" applyAlignment="1" applyProtection="1">
      <alignment horizontal="center" vertical="center"/>
      <protection/>
    </xf>
    <xf numFmtId="0" fontId="192" fillId="47" borderId="45" xfId="0" applyNumberFormat="1" applyFont="1" applyFill="1" applyBorder="1" applyAlignment="1" applyProtection="1">
      <alignment horizontal="center" vertical="center"/>
      <protection/>
    </xf>
    <xf numFmtId="0" fontId="146" fillId="36" borderId="45" xfId="0" applyNumberFormat="1" applyFont="1" applyFill="1" applyBorder="1" applyAlignment="1" applyProtection="1">
      <alignment horizontal="center" vertical="center"/>
      <protection/>
    </xf>
    <xf numFmtId="0" fontId="192" fillId="36" borderId="45" xfId="0" applyNumberFormat="1" applyFont="1" applyFill="1" applyBorder="1" applyAlignment="1" applyProtection="1">
      <alignment horizontal="center" vertical="center"/>
      <protection/>
    </xf>
    <xf numFmtId="0" fontId="192" fillId="41" borderId="45" xfId="0" applyNumberFormat="1" applyFont="1" applyFill="1" applyBorder="1" applyAlignment="1" applyProtection="1">
      <alignment horizontal="center" vertical="center"/>
      <protection/>
    </xf>
    <xf numFmtId="4" fontId="12" fillId="36" borderId="45" xfId="43" applyNumberFormat="1" applyFont="1" applyFill="1" applyBorder="1" applyAlignment="1">
      <alignment horizontal="right" vertical="center"/>
    </xf>
    <xf numFmtId="3" fontId="12" fillId="36" borderId="45" xfId="43" applyNumberFormat="1" applyFont="1" applyFill="1" applyBorder="1" applyAlignment="1">
      <alignment horizontal="right" vertical="center"/>
    </xf>
    <xf numFmtId="4" fontId="46" fillId="8" borderId="45" xfId="0" applyNumberFormat="1" applyFont="1" applyFill="1" applyBorder="1" applyAlignment="1">
      <alignment horizontal="right" vertical="center"/>
    </xf>
    <xf numFmtId="3" fontId="46" fillId="8" borderId="45" xfId="0" applyNumberFormat="1" applyFont="1" applyFill="1" applyBorder="1" applyAlignment="1">
      <alignment horizontal="right" vertical="center"/>
    </xf>
    <xf numFmtId="4" fontId="12" fillId="0" borderId="45" xfId="43" applyNumberFormat="1" applyFont="1" applyFill="1" applyBorder="1" applyAlignment="1" applyProtection="1">
      <alignment horizontal="right" vertical="center"/>
      <protection locked="0"/>
    </xf>
    <xf numFmtId="3" fontId="12" fillId="0" borderId="45" xfId="43" applyNumberFormat="1" applyFont="1" applyFill="1" applyBorder="1" applyAlignment="1" applyProtection="1">
      <alignment horizontal="right" vertical="center"/>
      <protection locked="0"/>
    </xf>
    <xf numFmtId="0" fontId="165" fillId="0" borderId="45" xfId="0" applyFont="1" applyFill="1" applyBorder="1" applyAlignment="1" applyProtection="1">
      <alignment horizontal="center" vertical="center"/>
      <protection/>
    </xf>
    <xf numFmtId="4" fontId="46" fillId="8" borderId="19" xfId="0" applyNumberFormat="1" applyFont="1" applyFill="1" applyBorder="1" applyAlignment="1">
      <alignment vertical="center"/>
    </xf>
    <xf numFmtId="3" fontId="46" fillId="8" borderId="19" xfId="0" applyNumberFormat="1" applyFont="1" applyFill="1" applyBorder="1" applyAlignment="1">
      <alignment vertical="center"/>
    </xf>
    <xf numFmtId="0" fontId="165" fillId="0" borderId="29" xfId="0" applyFont="1" applyFill="1" applyBorder="1" applyAlignment="1" applyProtection="1">
      <alignment horizontal="center" vertical="center"/>
      <protection/>
    </xf>
    <xf numFmtId="0" fontId="194" fillId="0" borderId="30" xfId="0" applyFont="1" applyFill="1" applyBorder="1" applyAlignment="1" applyProtection="1">
      <alignment horizontal="center" vertical="center"/>
      <protection/>
    </xf>
    <xf numFmtId="0" fontId="165" fillId="0" borderId="30" xfId="0" applyFont="1" applyFill="1" applyBorder="1" applyAlignment="1" applyProtection="1">
      <alignment horizontal="center" vertical="center"/>
      <protection/>
    </xf>
    <xf numFmtId="0" fontId="46" fillId="7" borderId="21" xfId="0" applyFont="1" applyFill="1" applyBorder="1" applyAlignment="1" applyProtection="1">
      <alignment vertical="center"/>
      <protection locked="0"/>
    </xf>
    <xf numFmtId="4" fontId="12" fillId="0" borderId="21" xfId="40" applyNumberFormat="1" applyFont="1" applyFill="1" applyBorder="1" applyAlignment="1" applyProtection="1">
      <alignment vertical="center"/>
      <protection/>
    </xf>
    <xf numFmtId="3" fontId="12" fillId="0" borderId="21" xfId="40" applyNumberFormat="1" applyFont="1" applyFill="1" applyBorder="1" applyAlignment="1" applyProtection="1">
      <alignment vertical="center"/>
      <protection/>
    </xf>
    <xf numFmtId="4" fontId="12" fillId="0" borderId="21" xfId="0" applyNumberFormat="1" applyFont="1" applyFill="1" applyBorder="1" applyAlignment="1">
      <alignment vertical="center"/>
    </xf>
    <xf numFmtId="0" fontId="165" fillId="0" borderId="31" xfId="0" applyFont="1" applyFill="1" applyBorder="1" applyAlignment="1" applyProtection="1">
      <alignment horizontal="center" vertical="center"/>
      <protection/>
    </xf>
    <xf numFmtId="0" fontId="192" fillId="33" borderId="47" xfId="0" applyNumberFormat="1" applyFont="1" applyFill="1" applyBorder="1" applyAlignment="1" applyProtection="1">
      <alignment vertical="center"/>
      <protection/>
    </xf>
    <xf numFmtId="0" fontId="146" fillId="36" borderId="19" xfId="0" applyNumberFormat="1" applyFont="1" applyFill="1" applyBorder="1" applyAlignment="1" applyProtection="1">
      <alignment vertical="center"/>
      <protection/>
    </xf>
    <xf numFmtId="0" fontId="146" fillId="37" borderId="19" xfId="0" applyNumberFormat="1" applyFont="1" applyFill="1" applyBorder="1" applyAlignment="1" applyProtection="1">
      <alignment vertical="center"/>
      <protection/>
    </xf>
    <xf numFmtId="0" fontId="146" fillId="45" borderId="19" xfId="0" applyNumberFormat="1" applyFont="1" applyFill="1" applyBorder="1" applyAlignment="1" applyProtection="1">
      <alignment vertical="center"/>
      <protection/>
    </xf>
    <xf numFmtId="0" fontId="146" fillId="42" borderId="19" xfId="0" applyNumberFormat="1" applyFont="1" applyFill="1" applyBorder="1" applyAlignment="1" applyProtection="1">
      <alignment vertical="center"/>
      <protection/>
    </xf>
    <xf numFmtId="0" fontId="192" fillId="44" borderId="19" xfId="0" applyNumberFormat="1" applyFont="1" applyFill="1" applyBorder="1" applyAlignment="1" applyProtection="1">
      <alignment vertical="center"/>
      <protection/>
    </xf>
    <xf numFmtId="0" fontId="192" fillId="36" borderId="19" xfId="0" applyNumberFormat="1" applyFont="1" applyFill="1" applyBorder="1" applyAlignment="1" applyProtection="1">
      <alignment vertical="center"/>
      <protection/>
    </xf>
    <xf numFmtId="190" fontId="12" fillId="7" borderId="19" xfId="0" applyNumberFormat="1" applyFont="1" applyFill="1" applyBorder="1" applyAlignment="1" applyProtection="1">
      <alignment vertical="center"/>
      <protection locked="0"/>
    </xf>
    <xf numFmtId="3" fontId="12" fillId="36" borderId="19" xfId="40" applyNumberFormat="1" applyFont="1" applyFill="1" applyBorder="1" applyAlignment="1">
      <alignment vertical="center"/>
    </xf>
    <xf numFmtId="4" fontId="12" fillId="36" borderId="19" xfId="40" applyNumberFormat="1" applyFont="1" applyFill="1" applyBorder="1" applyAlignment="1">
      <alignment vertical="center"/>
    </xf>
    <xf numFmtId="0" fontId="192" fillId="53" borderId="38" xfId="0" applyNumberFormat="1" applyFont="1" applyFill="1" applyBorder="1" applyAlignment="1" applyProtection="1">
      <alignment vertical="center"/>
      <protection/>
    </xf>
    <xf numFmtId="0" fontId="146" fillId="36" borderId="20" xfId="0" applyNumberFormat="1" applyFont="1" applyFill="1" applyBorder="1" applyAlignment="1" applyProtection="1">
      <alignment vertical="center"/>
      <protection/>
    </xf>
    <xf numFmtId="0" fontId="146" fillId="37" borderId="20" xfId="0" applyNumberFormat="1" applyFont="1" applyFill="1" applyBorder="1" applyAlignment="1" applyProtection="1">
      <alignment vertical="center"/>
      <protection/>
    </xf>
    <xf numFmtId="0" fontId="146" fillId="45" borderId="20" xfId="0" applyNumberFormat="1" applyFont="1" applyFill="1" applyBorder="1" applyAlignment="1" applyProtection="1">
      <alignment vertical="center"/>
      <protection/>
    </xf>
    <xf numFmtId="0" fontId="146" fillId="43" borderId="20" xfId="0" applyNumberFormat="1" applyFont="1" applyFill="1" applyBorder="1" applyAlignment="1" applyProtection="1">
      <alignment vertical="center"/>
      <protection/>
    </xf>
    <xf numFmtId="0" fontId="192" fillId="44" borderId="20" xfId="0" applyNumberFormat="1" applyFont="1" applyFill="1" applyBorder="1" applyAlignment="1" applyProtection="1">
      <alignment vertical="center"/>
      <protection/>
    </xf>
    <xf numFmtId="0" fontId="192" fillId="0" borderId="20" xfId="0" applyNumberFormat="1" applyFont="1" applyFill="1" applyBorder="1" applyAlignment="1" applyProtection="1">
      <alignment vertical="center"/>
      <protection/>
    </xf>
    <xf numFmtId="190" fontId="12" fillId="7" borderId="20" xfId="0" applyNumberFormat="1" applyFont="1" applyFill="1" applyBorder="1" applyAlignment="1" applyProtection="1">
      <alignment vertical="center"/>
      <protection locked="0"/>
    </xf>
    <xf numFmtId="4" fontId="12" fillId="36" borderId="20" xfId="42" applyNumberFormat="1" applyFont="1" applyFill="1" applyBorder="1" applyAlignment="1" applyProtection="1">
      <alignment vertical="center"/>
      <protection locked="0"/>
    </xf>
    <xf numFmtId="3" fontId="12" fillId="36" borderId="20" xfId="42" applyNumberFormat="1" applyFont="1" applyFill="1" applyBorder="1" applyAlignment="1" applyProtection="1">
      <alignment vertical="center"/>
      <protection locked="0"/>
    </xf>
    <xf numFmtId="0" fontId="192" fillId="33" borderId="38" xfId="0" applyNumberFormat="1" applyFont="1" applyFill="1" applyBorder="1" applyAlignment="1" applyProtection="1">
      <alignment vertical="center"/>
      <protection/>
    </xf>
    <xf numFmtId="0" fontId="192" fillId="47" borderId="20" xfId="0" applyNumberFormat="1" applyFont="1" applyFill="1" applyBorder="1" applyAlignment="1" applyProtection="1">
      <alignment vertical="center"/>
      <protection/>
    </xf>
    <xf numFmtId="204" fontId="192" fillId="36" borderId="20" xfId="0" applyNumberFormat="1" applyFont="1" applyFill="1" applyBorder="1" applyAlignment="1" applyProtection="1">
      <alignment vertical="center"/>
      <protection/>
    </xf>
    <xf numFmtId="0" fontId="192" fillId="41" borderId="20" xfId="0" applyNumberFormat="1" applyFont="1" applyFill="1" applyBorder="1" applyAlignment="1" applyProtection="1">
      <alignment vertical="center"/>
      <protection/>
    </xf>
    <xf numFmtId="190" fontId="12" fillId="7" borderId="20" xfId="0" applyNumberFormat="1" applyFont="1" applyFill="1" applyBorder="1" applyAlignment="1" applyProtection="1">
      <alignment vertical="center"/>
      <protection/>
    </xf>
    <xf numFmtId="4" fontId="12" fillId="36" borderId="20" xfId="40" applyNumberFormat="1" applyFont="1" applyFill="1" applyBorder="1" applyAlignment="1" applyProtection="1">
      <alignment vertical="center"/>
      <protection locked="0"/>
    </xf>
    <xf numFmtId="3" fontId="12" fillId="36" borderId="20" xfId="40" applyNumberFormat="1" applyFont="1" applyFill="1" applyBorder="1" applyAlignment="1" applyProtection="1">
      <alignment vertical="center"/>
      <protection locked="0"/>
    </xf>
    <xf numFmtId="0" fontId="192" fillId="36" borderId="20" xfId="0" applyNumberFormat="1" applyFont="1" applyFill="1" applyBorder="1" applyAlignment="1" applyProtection="1">
      <alignment vertical="center"/>
      <protection/>
    </xf>
    <xf numFmtId="3" fontId="12" fillId="36" borderId="20" xfId="40" applyNumberFormat="1" applyFont="1" applyFill="1" applyBorder="1" applyAlignment="1">
      <alignment vertical="center"/>
    </xf>
    <xf numFmtId="4" fontId="12" fillId="36" borderId="20" xfId="40" applyNumberFormat="1" applyFont="1" applyFill="1" applyBorder="1" applyAlignment="1">
      <alignment vertical="center"/>
    </xf>
    <xf numFmtId="0" fontId="9" fillId="33" borderId="38" xfId="0" applyFont="1" applyFill="1" applyBorder="1" applyAlignment="1" applyProtection="1">
      <alignment vertical="center"/>
      <protection/>
    </xf>
    <xf numFmtId="0" fontId="146" fillId="42" borderId="20" xfId="0" applyNumberFormat="1" applyFont="1" applyFill="1" applyBorder="1" applyAlignment="1" applyProtection="1">
      <alignment vertical="center"/>
      <protection/>
    </xf>
    <xf numFmtId="0" fontId="117" fillId="7" borderId="20" xfId="0" applyFont="1" applyFill="1" applyBorder="1" applyAlignment="1">
      <alignment vertical="center"/>
    </xf>
    <xf numFmtId="0" fontId="192" fillId="36" borderId="20" xfId="0" applyFont="1" applyFill="1" applyBorder="1" applyAlignment="1" applyProtection="1">
      <alignment vertical="center"/>
      <protection/>
    </xf>
    <xf numFmtId="4" fontId="12" fillId="0" borderId="20" xfId="42" applyNumberFormat="1" applyFont="1" applyFill="1" applyBorder="1" applyAlignment="1" applyProtection="1">
      <alignment vertical="center"/>
      <protection/>
    </xf>
    <xf numFmtId="4" fontId="12" fillId="36" borderId="20" xfId="43" applyNumberFormat="1" applyFont="1" applyFill="1" applyBorder="1" applyAlignment="1">
      <alignment vertical="center"/>
    </xf>
    <xf numFmtId="3" fontId="12" fillId="36" borderId="20" xfId="43" applyNumberFormat="1" applyFont="1" applyFill="1" applyBorder="1" applyAlignment="1">
      <alignment vertical="center"/>
    </xf>
    <xf numFmtId="0" fontId="9" fillId="36" borderId="20" xfId="0" applyFont="1" applyFill="1" applyBorder="1" applyAlignment="1" applyProtection="1">
      <alignment vertical="center"/>
      <protection/>
    </xf>
    <xf numFmtId="4" fontId="12" fillId="36" borderId="20" xfId="53" applyNumberFormat="1" applyFont="1" applyFill="1" applyBorder="1" applyAlignment="1" applyProtection="1">
      <alignment vertical="center"/>
      <protection/>
    </xf>
    <xf numFmtId="3" fontId="12" fillId="36" borderId="20" xfId="53" applyNumberFormat="1" applyFont="1" applyFill="1" applyBorder="1" applyAlignment="1" applyProtection="1">
      <alignment vertical="center"/>
      <protection/>
    </xf>
    <xf numFmtId="4" fontId="12" fillId="0" borderId="20" xfId="53" applyNumberFormat="1" applyFont="1" applyFill="1" applyBorder="1" applyAlignment="1" applyProtection="1">
      <alignment vertical="center"/>
      <protection locked="0"/>
    </xf>
    <xf numFmtId="3" fontId="12" fillId="0" borderId="20" xfId="53" applyNumberFormat="1" applyFont="1" applyFill="1" applyBorder="1" applyAlignment="1" applyProtection="1">
      <alignment vertical="center"/>
      <protection locked="0"/>
    </xf>
    <xf numFmtId="0" fontId="12" fillId="36" borderId="20" xfId="0" applyFont="1" applyFill="1" applyBorder="1" applyAlignment="1" applyProtection="1">
      <alignment vertical="center"/>
      <protection/>
    </xf>
    <xf numFmtId="1" fontId="12" fillId="33" borderId="20" xfId="0" applyNumberFormat="1" applyFont="1" applyFill="1" applyBorder="1" applyAlignment="1">
      <alignment vertical="center"/>
    </xf>
    <xf numFmtId="0" fontId="146" fillId="0" borderId="20" xfId="0" applyNumberFormat="1" applyFont="1" applyFill="1" applyBorder="1" applyAlignment="1" applyProtection="1">
      <alignment vertical="center"/>
      <protection/>
    </xf>
    <xf numFmtId="0" fontId="195" fillId="36" borderId="20" xfId="0" applyFont="1" applyFill="1" applyBorder="1" applyAlignment="1" applyProtection="1">
      <alignment vertical="center"/>
      <protection/>
    </xf>
    <xf numFmtId="0" fontId="146" fillId="36" borderId="38" xfId="0" applyNumberFormat="1" applyFont="1" applyFill="1" applyBorder="1" applyAlignment="1" applyProtection="1">
      <alignment vertical="center"/>
      <protection/>
    </xf>
    <xf numFmtId="0" fontId="193" fillId="33" borderId="38" xfId="0" applyFont="1" applyFill="1" applyBorder="1" applyAlignment="1" applyProtection="1">
      <alignment vertical="center"/>
      <protection/>
    </xf>
    <xf numFmtId="190" fontId="12" fillId="7" borderId="20" xfId="0" applyNumberFormat="1" applyFont="1" applyFill="1" applyBorder="1" applyAlignment="1">
      <alignment vertical="center"/>
    </xf>
    <xf numFmtId="0" fontId="195" fillId="33" borderId="38" xfId="0" applyFont="1" applyFill="1" applyBorder="1" applyAlignment="1" applyProtection="1">
      <alignment vertical="center"/>
      <protection/>
    </xf>
    <xf numFmtId="0" fontId="192" fillId="36" borderId="38" xfId="0" applyNumberFormat="1" applyFont="1" applyFill="1" applyBorder="1" applyAlignment="1" applyProtection="1">
      <alignment vertical="center"/>
      <protection/>
    </xf>
    <xf numFmtId="0" fontId="193" fillId="36" borderId="20" xfId="0" applyFont="1" applyFill="1" applyBorder="1" applyAlignment="1" applyProtection="1">
      <alignment vertical="center"/>
      <protection/>
    </xf>
    <xf numFmtId="0" fontId="192" fillId="33" borderId="20" xfId="0" applyNumberFormat="1" applyFont="1" applyFill="1" applyBorder="1" applyAlignment="1" applyProtection="1">
      <alignment vertical="center"/>
      <protection/>
    </xf>
    <xf numFmtId="0" fontId="193" fillId="33" borderId="20" xfId="0" applyFont="1" applyFill="1" applyBorder="1" applyAlignment="1" applyProtection="1">
      <alignment vertical="center"/>
      <protection/>
    </xf>
    <xf numFmtId="0" fontId="192" fillId="33" borderId="46" xfId="0" applyNumberFormat="1" applyFont="1" applyFill="1" applyBorder="1" applyAlignment="1" applyProtection="1">
      <alignment vertical="center"/>
      <protection/>
    </xf>
    <xf numFmtId="0" fontId="192" fillId="47" borderId="21" xfId="0" applyNumberFormat="1" applyFont="1" applyFill="1" applyBorder="1" applyAlignment="1" applyProtection="1">
      <alignment vertical="center"/>
      <protection/>
    </xf>
    <xf numFmtId="0" fontId="146" fillId="36" borderId="21" xfId="0" applyNumberFormat="1" applyFont="1" applyFill="1" applyBorder="1" applyAlignment="1" applyProtection="1">
      <alignment vertical="center"/>
      <protection/>
    </xf>
    <xf numFmtId="0" fontId="192" fillId="36" borderId="21" xfId="0" applyNumberFormat="1" applyFont="1" applyFill="1" applyBorder="1" applyAlignment="1" applyProtection="1">
      <alignment vertical="center"/>
      <protection/>
    </xf>
    <xf numFmtId="0" fontId="192" fillId="41" borderId="21" xfId="0" applyNumberFormat="1" applyFont="1" applyFill="1" applyBorder="1" applyAlignment="1" applyProtection="1">
      <alignment vertical="center"/>
      <protection/>
    </xf>
    <xf numFmtId="190" fontId="12" fillId="7" borderId="21" xfId="0" applyNumberFormat="1" applyFont="1" applyFill="1" applyBorder="1" applyAlignment="1" applyProtection="1">
      <alignment vertical="center"/>
      <protection locked="0"/>
    </xf>
    <xf numFmtId="0" fontId="12" fillId="7" borderId="21" xfId="0" applyFont="1" applyFill="1" applyBorder="1" applyAlignment="1" applyProtection="1">
      <alignment vertical="center"/>
      <protection locked="0"/>
    </xf>
    <xf numFmtId="4" fontId="12" fillId="36" borderId="21" xfId="42" applyNumberFormat="1" applyFont="1" applyFill="1" applyBorder="1" applyAlignment="1" applyProtection="1">
      <alignment vertical="center"/>
      <protection locked="0"/>
    </xf>
    <xf numFmtId="3" fontId="12" fillId="36" borderId="21" xfId="42" applyNumberFormat="1" applyFont="1" applyFill="1" applyBorder="1" applyAlignment="1" applyProtection="1">
      <alignment vertical="center"/>
      <protection locked="0"/>
    </xf>
    <xf numFmtId="4" fontId="46" fillId="8" borderId="21" xfId="0" applyNumberFormat="1" applyFont="1" applyFill="1" applyBorder="1" applyAlignment="1">
      <alignment vertical="center"/>
    </xf>
    <xf numFmtId="3" fontId="46" fillId="8" borderId="21" xfId="0" applyNumberFormat="1" applyFont="1" applyFill="1" applyBorder="1" applyAlignment="1">
      <alignment vertical="center"/>
    </xf>
    <xf numFmtId="4" fontId="12" fillId="0" borderId="21" xfId="42" applyNumberFormat="1" applyFont="1" applyFill="1" applyBorder="1" applyAlignment="1" applyProtection="1">
      <alignment vertical="center"/>
      <protection/>
    </xf>
    <xf numFmtId="3" fontId="12" fillId="0" borderId="21" xfId="0" applyNumberFormat="1" applyFont="1" applyFill="1" applyBorder="1" applyAlignment="1">
      <alignment vertical="center"/>
    </xf>
    <xf numFmtId="0" fontId="46" fillId="15" borderId="20" xfId="0" applyNumberFormat="1" applyFont="1" applyFill="1" applyBorder="1" applyAlignment="1" applyProtection="1">
      <alignment vertical="center"/>
      <protection locked="0"/>
    </xf>
    <xf numFmtId="0" fontId="12" fillId="15" borderId="20" xfId="0" applyFont="1" applyFill="1" applyBorder="1" applyAlignment="1">
      <alignment vertical="center"/>
    </xf>
    <xf numFmtId="0" fontId="12" fillId="15" borderId="20" xfId="0" applyNumberFormat="1" applyFont="1" applyFill="1" applyBorder="1" applyAlignment="1" applyProtection="1">
      <alignment vertical="center"/>
      <protection locked="0"/>
    </xf>
    <xf numFmtId="0" fontId="46" fillId="15" borderId="20" xfId="0" applyNumberFormat="1" applyFont="1" applyFill="1" applyBorder="1" applyAlignment="1">
      <alignment vertical="center"/>
    </xf>
    <xf numFmtId="0" fontId="12" fillId="15" borderId="20" xfId="0" applyNumberFormat="1" applyFont="1" applyFill="1" applyBorder="1" applyAlignment="1">
      <alignment vertical="center"/>
    </xf>
    <xf numFmtId="0" fontId="177" fillId="15" borderId="20" xfId="0" applyFont="1" applyFill="1" applyBorder="1" applyAlignment="1">
      <alignment vertical="center"/>
    </xf>
    <xf numFmtId="0" fontId="12" fillId="15" borderId="20" xfId="0" applyNumberFormat="1" applyFont="1" applyFill="1" applyBorder="1" applyAlignment="1" applyProtection="1">
      <alignment vertical="center"/>
      <protection/>
    </xf>
    <xf numFmtId="204" fontId="46" fillId="15" borderId="20" xfId="0" applyNumberFormat="1" applyFont="1" applyFill="1" applyBorder="1" applyAlignment="1">
      <alignment vertical="center"/>
    </xf>
    <xf numFmtId="204" fontId="12" fillId="15" borderId="20" xfId="0" applyNumberFormat="1" applyFont="1" applyFill="1" applyBorder="1" applyAlignment="1">
      <alignment vertical="center"/>
    </xf>
    <xf numFmtId="0" fontId="46" fillId="15" borderId="20" xfId="0" applyFont="1" applyFill="1" applyBorder="1" applyAlignment="1">
      <alignment vertical="center"/>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30124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21326475" y="0"/>
          <a:ext cx="16859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352425</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1820525" y="1409700"/>
          <a:ext cx="24955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T138"/>
  <sheetViews>
    <sheetView tabSelected="1" zoomScale="60" zoomScaleNormal="60" zoomScalePageLayoutView="0" workbookViewId="0" topLeftCell="A1">
      <pane xSplit="18" ySplit="10" topLeftCell="Y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5.14062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2.00390625" style="12" bestFit="1" customWidth="1"/>
    <col min="9" max="9" width="1.7109375" style="13" bestFit="1" customWidth="1"/>
    <col min="10" max="10" width="54.00390625" style="14" bestFit="1" customWidth="1"/>
    <col min="11" max="11" width="26.8515625" style="14" bestFit="1" customWidth="1"/>
    <col min="12" max="12" width="18.28125" style="14" bestFit="1" customWidth="1"/>
    <col min="13" max="13" width="43.00390625" style="14" bestFit="1" customWidth="1"/>
    <col min="14" max="14" width="10.00390625" style="15" customWidth="1"/>
    <col min="15" max="15" width="20.00390625" style="12" bestFit="1" customWidth="1"/>
    <col min="16" max="16" width="6.00390625" style="15" customWidth="1"/>
    <col min="17" max="17" width="9.8515625" style="16" customWidth="1"/>
    <col min="18" max="18" width="9.8515625" style="17" customWidth="1"/>
    <col min="19" max="19" width="13.28125" style="16" bestFit="1" customWidth="1"/>
    <col min="20" max="20" width="11.57421875" style="17" bestFit="1" customWidth="1"/>
    <col min="21" max="21" width="11.57421875" style="16" bestFit="1" customWidth="1"/>
    <col min="22" max="22" width="7.57421875" style="17" bestFit="1" customWidth="1"/>
    <col min="23" max="23" width="11.57421875" style="18" bestFit="1" customWidth="1"/>
    <col min="24" max="24" width="7.57421875" style="19" bestFit="1" customWidth="1"/>
    <col min="25" max="25" width="14.7109375" style="44" bestFit="1" customWidth="1"/>
    <col min="26" max="26" width="9.421875" style="45" bestFit="1" customWidth="1"/>
    <col min="27" max="27" width="11.28125" style="20" bestFit="1" customWidth="1"/>
    <col min="28" max="28" width="8.140625" style="22" bestFit="1" customWidth="1"/>
    <col min="29" max="29" width="11.57421875" style="22" bestFit="1" customWidth="1"/>
    <col min="30" max="30" width="7.57421875" style="23" bestFit="1" customWidth="1"/>
    <col min="31" max="31" width="10.00390625" style="22" hidden="1" customWidth="1"/>
    <col min="32" max="32" width="13.57421875" style="100" hidden="1" customWidth="1"/>
    <col min="33" max="33" width="15.140625" style="28" hidden="1" customWidth="1"/>
    <col min="34" max="34" width="9.421875" style="26" hidden="1" customWidth="1"/>
    <col min="35" max="36" width="10.57421875" style="30" hidden="1" customWidth="1"/>
    <col min="37" max="37" width="10.57421875" style="24" hidden="1" customWidth="1"/>
    <col min="38" max="38" width="10.57421875" style="29" hidden="1" customWidth="1"/>
    <col min="39" max="39" width="11.57421875" style="16" hidden="1" customWidth="1"/>
    <col min="40" max="40" width="12.7109375" style="17" hidden="1" customWidth="1"/>
    <col min="41" max="41" width="12.57421875" style="16" bestFit="1" customWidth="1"/>
    <col min="42" max="42" width="9.00390625" style="14" bestFit="1" customWidth="1"/>
    <col min="43" max="43" width="9.8515625" style="14" customWidth="1"/>
    <col min="44" max="44" width="9.28125" style="14" bestFit="1" customWidth="1"/>
    <col min="45" max="45" width="6.00390625" style="14" bestFit="1" customWidth="1"/>
    <col min="46" max="46" width="4.421875" style="14" bestFit="1" customWidth="1"/>
    <col min="47" max="16384" width="65.7109375" style="14" customWidth="1"/>
  </cols>
  <sheetData>
    <row r="1" spans="1:45" s="2" customFormat="1" ht="49.5">
      <c r="A1" s="552" t="s">
        <v>390</v>
      </c>
      <c r="B1" s="553"/>
      <c r="C1" s="553"/>
      <c r="D1" s="553"/>
      <c r="E1" s="553"/>
      <c r="F1" s="553"/>
      <c r="G1" s="553"/>
      <c r="H1" s="553"/>
      <c r="I1" s="553"/>
      <c r="J1" s="553"/>
      <c r="K1" s="553"/>
      <c r="L1" s="553"/>
      <c r="M1" s="553"/>
      <c r="N1" s="553"/>
      <c r="O1" s="553"/>
      <c r="P1" s="553"/>
      <c r="Q1" s="553"/>
      <c r="R1" s="553"/>
      <c r="S1" s="41"/>
      <c r="T1" s="43"/>
      <c r="U1" s="41"/>
      <c r="V1" s="43"/>
      <c r="W1" s="41"/>
      <c r="X1" s="567" t="s">
        <v>225</v>
      </c>
      <c r="Y1" s="568"/>
      <c r="Z1" s="568"/>
      <c r="AA1" s="568"/>
      <c r="AB1" s="568"/>
      <c r="AC1" s="568"/>
      <c r="AD1" s="568"/>
      <c r="AE1" s="568"/>
      <c r="AF1" s="568"/>
      <c r="AG1" s="568"/>
      <c r="AH1" s="568"/>
      <c r="AI1" s="568"/>
      <c r="AJ1" s="568"/>
      <c r="AK1" s="568"/>
      <c r="AL1" s="568"/>
      <c r="AM1" s="568"/>
      <c r="AN1" s="568"/>
      <c r="AO1" s="568"/>
      <c r="AP1" s="568"/>
      <c r="AQ1" s="560"/>
      <c r="AR1" s="560"/>
      <c r="AS1" s="560"/>
    </row>
    <row r="2" spans="1:45" s="2" customFormat="1" ht="26.25">
      <c r="A2" s="554" t="s">
        <v>226</v>
      </c>
      <c r="B2" s="555"/>
      <c r="C2" s="555"/>
      <c r="D2" s="555"/>
      <c r="E2" s="555"/>
      <c r="F2" s="555"/>
      <c r="G2" s="555"/>
      <c r="H2" s="555"/>
      <c r="I2" s="555"/>
      <c r="J2" s="555"/>
      <c r="K2" s="555"/>
      <c r="L2" s="555"/>
      <c r="M2" s="555"/>
      <c r="N2" s="555"/>
      <c r="O2" s="555"/>
      <c r="P2" s="555"/>
      <c r="Q2" s="555"/>
      <c r="R2" s="555"/>
      <c r="S2" s="42"/>
      <c r="V2" s="574"/>
      <c r="W2" s="569"/>
      <c r="X2" s="569"/>
      <c r="Y2" s="575"/>
      <c r="Z2" s="576"/>
      <c r="AA2" s="576"/>
      <c r="AB2" s="576"/>
      <c r="AC2" s="576"/>
      <c r="AD2" s="576"/>
      <c r="AE2" s="27"/>
      <c r="AF2" s="25"/>
      <c r="AG2" s="34"/>
      <c r="AH2" s="35"/>
      <c r="AI2" s="36"/>
      <c r="AJ2" s="36"/>
      <c r="AK2" s="35"/>
      <c r="AL2" s="34"/>
      <c r="AM2" s="112"/>
      <c r="AN2" s="112"/>
      <c r="AO2" s="570"/>
      <c r="AP2" s="570"/>
      <c r="AQ2" s="584"/>
      <c r="AR2" s="584"/>
      <c r="AS2" s="577"/>
    </row>
    <row r="3" spans="1:45" s="2" customFormat="1" ht="27" thickBot="1">
      <c r="A3" s="556" t="s">
        <v>46</v>
      </c>
      <c r="B3" s="557"/>
      <c r="C3" s="557"/>
      <c r="D3" s="557"/>
      <c r="E3" s="557"/>
      <c r="F3" s="557"/>
      <c r="G3" s="557"/>
      <c r="H3" s="557"/>
      <c r="I3" s="557"/>
      <c r="J3" s="557"/>
      <c r="K3" s="557"/>
      <c r="L3" s="557"/>
      <c r="M3" s="557"/>
      <c r="N3" s="557"/>
      <c r="O3" s="557"/>
      <c r="P3" s="557"/>
      <c r="Q3" s="557"/>
      <c r="R3" s="557"/>
      <c r="S3" s="75"/>
      <c r="V3" s="574"/>
      <c r="W3" s="577"/>
      <c r="X3" s="569"/>
      <c r="Y3" s="575"/>
      <c r="Z3" s="576"/>
      <c r="AA3" s="576"/>
      <c r="AB3" s="576"/>
      <c r="AC3" s="576"/>
      <c r="AD3" s="576"/>
      <c r="AE3" s="76"/>
      <c r="AF3" s="77"/>
      <c r="AG3" s="31"/>
      <c r="AH3" s="32"/>
      <c r="AI3" s="31"/>
      <c r="AJ3" s="31"/>
      <c r="AK3" s="33"/>
      <c r="AL3" s="31"/>
      <c r="AM3" s="112"/>
      <c r="AN3" s="112"/>
      <c r="AO3" s="570"/>
      <c r="AP3" s="570"/>
      <c r="AQ3" s="577"/>
      <c r="AR3" s="577"/>
      <c r="AS3" s="577"/>
    </row>
    <row r="4" spans="1:45" s="2" customFormat="1" ht="32.25">
      <c r="A4" s="571" t="s">
        <v>444</v>
      </c>
      <c r="B4" s="572"/>
      <c r="C4" s="572"/>
      <c r="D4" s="572"/>
      <c r="E4" s="572"/>
      <c r="F4" s="572"/>
      <c r="G4" s="572"/>
      <c r="H4" s="572"/>
      <c r="I4" s="572"/>
      <c r="J4" s="572"/>
      <c r="K4" s="572"/>
      <c r="L4" s="572"/>
      <c r="M4" s="572"/>
      <c r="N4" s="572"/>
      <c r="O4" s="78"/>
      <c r="P4" s="79"/>
      <c r="Q4" s="79"/>
      <c r="R4" s="79"/>
      <c r="S4" s="80"/>
      <c r="V4" s="574"/>
      <c r="W4" s="569"/>
      <c r="X4" s="569"/>
      <c r="Y4" s="575"/>
      <c r="Z4" s="579"/>
      <c r="AA4" s="579"/>
      <c r="AB4" s="579"/>
      <c r="AC4" s="579"/>
      <c r="AD4" s="579"/>
      <c r="AE4" s="81"/>
      <c r="AF4" s="82"/>
      <c r="AG4" s="580"/>
      <c r="AH4" s="581"/>
      <c r="AI4" s="581"/>
      <c r="AJ4" s="581"/>
      <c r="AK4" s="581"/>
      <c r="AL4" s="83"/>
      <c r="AM4" s="112"/>
      <c r="AN4" s="112"/>
      <c r="AO4" s="570"/>
      <c r="AP4" s="577"/>
      <c r="AQ4" s="584"/>
      <c r="AR4" s="584"/>
      <c r="AS4" s="577"/>
    </row>
    <row r="5" spans="1:45" s="2" customFormat="1" ht="33" thickBot="1">
      <c r="A5" s="573"/>
      <c r="B5" s="573"/>
      <c r="C5" s="573"/>
      <c r="D5" s="573"/>
      <c r="E5" s="573"/>
      <c r="F5" s="573"/>
      <c r="G5" s="573"/>
      <c r="H5" s="573"/>
      <c r="I5" s="573"/>
      <c r="J5" s="573"/>
      <c r="K5" s="573"/>
      <c r="L5" s="573"/>
      <c r="M5" s="573"/>
      <c r="N5" s="573"/>
      <c r="O5" s="78"/>
      <c r="P5" s="79"/>
      <c r="Q5" s="79"/>
      <c r="R5" s="79"/>
      <c r="S5" s="80"/>
      <c r="V5" s="574"/>
      <c r="W5" s="569"/>
      <c r="X5" s="569"/>
      <c r="Y5" s="575"/>
      <c r="Z5" s="579"/>
      <c r="AA5" s="579"/>
      <c r="AB5" s="579"/>
      <c r="AC5" s="579"/>
      <c r="AD5" s="579"/>
      <c r="AE5" s="81"/>
      <c r="AF5" s="82"/>
      <c r="AG5" s="37"/>
      <c r="AH5" s="84"/>
      <c r="AI5" s="84"/>
      <c r="AJ5" s="84"/>
      <c r="AK5" s="84"/>
      <c r="AL5" s="84"/>
      <c r="AM5" s="112"/>
      <c r="AN5" s="112"/>
      <c r="AO5" s="577"/>
      <c r="AP5" s="577"/>
      <c r="AQ5" s="577"/>
      <c r="AR5" s="577"/>
      <c r="AS5" s="577"/>
    </row>
    <row r="6" spans="1:45" s="5" customFormat="1" ht="15.75" thickBot="1">
      <c r="A6" s="38"/>
      <c r="B6" s="46"/>
      <c r="C6" s="46"/>
      <c r="D6" s="46"/>
      <c r="E6" s="46"/>
      <c r="F6" s="46"/>
      <c r="G6" s="46"/>
      <c r="H6" s="46"/>
      <c r="I6" s="46"/>
      <c r="J6" s="562" t="s">
        <v>227</v>
      </c>
      <c r="K6" s="562"/>
      <c r="L6" s="562"/>
      <c r="M6" s="562"/>
      <c r="N6" s="562"/>
      <c r="O6" s="562"/>
      <c r="P6" s="562"/>
      <c r="Q6" s="562" t="s">
        <v>228</v>
      </c>
      <c r="R6" s="562"/>
      <c r="S6" s="562" t="s">
        <v>229</v>
      </c>
      <c r="T6" s="562"/>
      <c r="U6" s="562"/>
      <c r="V6" s="562"/>
      <c r="W6" s="562"/>
      <c r="X6" s="562"/>
      <c r="Y6" s="562"/>
      <c r="Z6" s="562"/>
      <c r="AA6" s="562"/>
      <c r="AB6" s="562"/>
      <c r="AC6" s="562"/>
      <c r="AD6" s="562"/>
      <c r="AE6" s="562" t="s">
        <v>230</v>
      </c>
      <c r="AF6" s="562"/>
      <c r="AG6" s="562" t="s">
        <v>231</v>
      </c>
      <c r="AH6" s="562"/>
      <c r="AI6" s="562" t="s">
        <v>232</v>
      </c>
      <c r="AJ6" s="562"/>
      <c r="AK6" s="562" t="s">
        <v>233</v>
      </c>
      <c r="AL6" s="562"/>
      <c r="AM6" s="46"/>
      <c r="AN6" s="46"/>
      <c r="AO6" s="562" t="s">
        <v>234</v>
      </c>
      <c r="AP6" s="562"/>
      <c r="AQ6" s="562"/>
      <c r="AR6" s="563"/>
      <c r="AS6" s="564"/>
    </row>
    <row r="7" spans="1:45" s="6" customFormat="1" ht="12.75">
      <c r="A7" s="39"/>
      <c r="B7" s="47"/>
      <c r="C7" s="47"/>
      <c r="D7" s="47"/>
      <c r="E7" s="47"/>
      <c r="F7" s="47"/>
      <c r="G7" s="47"/>
      <c r="H7" s="47"/>
      <c r="I7" s="47"/>
      <c r="J7" s="48"/>
      <c r="K7" s="48"/>
      <c r="L7" s="48"/>
      <c r="M7" s="48"/>
      <c r="N7" s="49" t="s">
        <v>15</v>
      </c>
      <c r="O7" s="48"/>
      <c r="P7" s="48" t="s">
        <v>18</v>
      </c>
      <c r="Q7" s="48" t="s">
        <v>18</v>
      </c>
      <c r="R7" s="48" t="s">
        <v>20</v>
      </c>
      <c r="S7" s="545" t="s">
        <v>2</v>
      </c>
      <c r="T7" s="546"/>
      <c r="U7" s="545" t="s">
        <v>3</v>
      </c>
      <c r="V7" s="546"/>
      <c r="W7" s="545" t="s">
        <v>4</v>
      </c>
      <c r="X7" s="546"/>
      <c r="Y7" s="578" t="s">
        <v>11</v>
      </c>
      <c r="Z7" s="578"/>
      <c r="AA7" s="578" t="s">
        <v>30</v>
      </c>
      <c r="AB7" s="578"/>
      <c r="AC7" s="578" t="s">
        <v>0</v>
      </c>
      <c r="AD7" s="578"/>
      <c r="AE7" s="578"/>
      <c r="AF7" s="578"/>
      <c r="AG7" s="583"/>
      <c r="AH7" s="583"/>
      <c r="AI7" s="578" t="s">
        <v>41</v>
      </c>
      <c r="AJ7" s="578"/>
      <c r="AK7" s="578" t="s">
        <v>44</v>
      </c>
      <c r="AL7" s="578"/>
      <c r="AM7" s="578" t="s">
        <v>50</v>
      </c>
      <c r="AN7" s="578"/>
      <c r="AO7" s="578"/>
      <c r="AP7" s="578"/>
      <c r="AQ7" s="50" t="s">
        <v>30</v>
      </c>
      <c r="AR7" s="113" t="s">
        <v>297</v>
      </c>
      <c r="AS7" s="51" t="s">
        <v>297</v>
      </c>
    </row>
    <row r="8" spans="1:45" s="6" customFormat="1" ht="13.5" thickBot="1">
      <c r="A8" s="40"/>
      <c r="B8" s="588" t="s">
        <v>279</v>
      </c>
      <c r="C8" s="589"/>
      <c r="D8" s="589"/>
      <c r="E8" s="589"/>
      <c r="F8" s="589"/>
      <c r="G8" s="589"/>
      <c r="H8" s="589"/>
      <c r="I8" s="590"/>
      <c r="J8" s="52" t="s">
        <v>64</v>
      </c>
      <c r="K8" s="52" t="s">
        <v>76</v>
      </c>
      <c r="L8" s="52" t="s">
        <v>98</v>
      </c>
      <c r="M8" s="52" t="s">
        <v>62</v>
      </c>
      <c r="N8" s="53" t="s">
        <v>16</v>
      </c>
      <c r="O8" s="54" t="s">
        <v>1</v>
      </c>
      <c r="P8" s="54" t="s">
        <v>17</v>
      </c>
      <c r="Q8" s="54" t="s">
        <v>19</v>
      </c>
      <c r="R8" s="54" t="s">
        <v>15</v>
      </c>
      <c r="S8" s="55" t="s">
        <v>7</v>
      </c>
      <c r="T8" s="56" t="s">
        <v>6</v>
      </c>
      <c r="U8" s="55" t="s">
        <v>7</v>
      </c>
      <c r="V8" s="56" t="s">
        <v>6</v>
      </c>
      <c r="W8" s="55" t="s">
        <v>7</v>
      </c>
      <c r="X8" s="56" t="s">
        <v>6</v>
      </c>
      <c r="Y8" s="55" t="s">
        <v>7</v>
      </c>
      <c r="Z8" s="56" t="s">
        <v>6</v>
      </c>
      <c r="AA8" s="56" t="s">
        <v>42</v>
      </c>
      <c r="AB8" s="55" t="s">
        <v>31</v>
      </c>
      <c r="AC8" s="55" t="s">
        <v>7</v>
      </c>
      <c r="AD8" s="57" t="s">
        <v>5</v>
      </c>
      <c r="AE8" s="55" t="s">
        <v>7</v>
      </c>
      <c r="AF8" s="56" t="s">
        <v>6</v>
      </c>
      <c r="AG8" s="58" t="s">
        <v>7</v>
      </c>
      <c r="AH8" s="59" t="s">
        <v>6</v>
      </c>
      <c r="AI8" s="57" t="s">
        <v>6</v>
      </c>
      <c r="AJ8" s="57" t="s">
        <v>6</v>
      </c>
      <c r="AK8" s="56" t="s">
        <v>6</v>
      </c>
      <c r="AL8" s="55" t="s">
        <v>31</v>
      </c>
      <c r="AM8" s="55" t="s">
        <v>7</v>
      </c>
      <c r="AN8" s="57" t="s">
        <v>5</v>
      </c>
      <c r="AO8" s="55" t="s">
        <v>7</v>
      </c>
      <c r="AP8" s="56" t="s">
        <v>6</v>
      </c>
      <c r="AQ8" s="55" t="s">
        <v>31</v>
      </c>
      <c r="AR8" s="114" t="s">
        <v>301</v>
      </c>
      <c r="AS8" s="60" t="s">
        <v>298</v>
      </c>
    </row>
    <row r="9" spans="1:45" s="9" customFormat="1" ht="12.75">
      <c r="A9" s="85"/>
      <c r="B9" s="86"/>
      <c r="C9" s="86"/>
      <c r="D9" s="86"/>
      <c r="E9" s="86"/>
      <c r="F9" s="86"/>
      <c r="G9" s="86"/>
      <c r="H9" s="86"/>
      <c r="I9" s="86"/>
      <c r="J9" s="86"/>
      <c r="K9" s="86"/>
      <c r="L9" s="86"/>
      <c r="M9" s="86"/>
      <c r="N9" s="87" t="s">
        <v>22</v>
      </c>
      <c r="O9" s="86"/>
      <c r="P9" s="86" t="s">
        <v>25</v>
      </c>
      <c r="Q9" s="88" t="s">
        <v>27</v>
      </c>
      <c r="R9" s="88" t="s">
        <v>28</v>
      </c>
      <c r="S9" s="545" t="s">
        <v>32</v>
      </c>
      <c r="T9" s="546"/>
      <c r="U9" s="545" t="s">
        <v>33</v>
      </c>
      <c r="V9" s="546"/>
      <c r="W9" s="545" t="s">
        <v>34</v>
      </c>
      <c r="X9" s="546"/>
      <c r="Y9" s="582" t="s">
        <v>43</v>
      </c>
      <c r="Z9" s="582"/>
      <c r="AA9" s="582" t="s">
        <v>36</v>
      </c>
      <c r="AB9" s="582"/>
      <c r="AC9" s="582" t="s">
        <v>397</v>
      </c>
      <c r="AD9" s="582"/>
      <c r="AE9" s="89"/>
      <c r="AF9" s="90"/>
      <c r="AG9" s="91"/>
      <c r="AH9" s="92"/>
      <c r="AI9" s="582" t="s">
        <v>40</v>
      </c>
      <c r="AJ9" s="582"/>
      <c r="AK9" s="582" t="s">
        <v>45</v>
      </c>
      <c r="AL9" s="582"/>
      <c r="AM9" s="582" t="s">
        <v>51</v>
      </c>
      <c r="AN9" s="582"/>
      <c r="AO9" s="89"/>
      <c r="AP9" s="90"/>
      <c r="AQ9" s="93" t="s">
        <v>36</v>
      </c>
      <c r="AR9" s="115" t="s">
        <v>302</v>
      </c>
      <c r="AS9" s="94" t="s">
        <v>299</v>
      </c>
    </row>
    <row r="10" spans="1:45" s="9" customFormat="1" ht="13.5" thickBot="1">
      <c r="A10" s="95"/>
      <c r="B10" s="585" t="s">
        <v>278</v>
      </c>
      <c r="C10" s="586"/>
      <c r="D10" s="586"/>
      <c r="E10" s="586"/>
      <c r="F10" s="586"/>
      <c r="G10" s="586"/>
      <c r="H10" s="586"/>
      <c r="I10" s="587"/>
      <c r="J10" s="116" t="s">
        <v>61</v>
      </c>
      <c r="K10" s="116" t="s">
        <v>75</v>
      </c>
      <c r="L10" s="116" t="s">
        <v>78</v>
      </c>
      <c r="M10" s="116" t="s">
        <v>63</v>
      </c>
      <c r="N10" s="117" t="s">
        <v>23</v>
      </c>
      <c r="O10" s="118" t="s">
        <v>24</v>
      </c>
      <c r="P10" s="118" t="s">
        <v>26</v>
      </c>
      <c r="Q10" s="119" t="s">
        <v>26</v>
      </c>
      <c r="R10" s="119" t="s">
        <v>29</v>
      </c>
      <c r="S10" s="120" t="s">
        <v>38</v>
      </c>
      <c r="T10" s="121" t="s">
        <v>35</v>
      </c>
      <c r="U10" s="120" t="s">
        <v>38</v>
      </c>
      <c r="V10" s="121" t="s">
        <v>35</v>
      </c>
      <c r="W10" s="120" t="s">
        <v>38</v>
      </c>
      <c r="X10" s="121" t="s">
        <v>35</v>
      </c>
      <c r="Y10" s="122" t="s">
        <v>38</v>
      </c>
      <c r="Z10" s="123" t="s">
        <v>35</v>
      </c>
      <c r="AA10" s="123" t="s">
        <v>35</v>
      </c>
      <c r="AB10" s="122" t="s">
        <v>37</v>
      </c>
      <c r="AC10" s="120" t="s">
        <v>38</v>
      </c>
      <c r="AD10" s="124" t="s">
        <v>39</v>
      </c>
      <c r="AE10" s="122" t="s">
        <v>38</v>
      </c>
      <c r="AF10" s="123" t="s">
        <v>35</v>
      </c>
      <c r="AG10" s="125" t="s">
        <v>38</v>
      </c>
      <c r="AH10" s="126" t="s">
        <v>35</v>
      </c>
      <c r="AI10" s="124" t="s">
        <v>35</v>
      </c>
      <c r="AJ10" s="124" t="s">
        <v>35</v>
      </c>
      <c r="AK10" s="123" t="s">
        <v>35</v>
      </c>
      <c r="AL10" s="122" t="s">
        <v>37</v>
      </c>
      <c r="AM10" s="127" t="s">
        <v>38</v>
      </c>
      <c r="AN10" s="124" t="s">
        <v>39</v>
      </c>
      <c r="AO10" s="120" t="s">
        <v>38</v>
      </c>
      <c r="AP10" s="128" t="s">
        <v>37</v>
      </c>
      <c r="AQ10" s="122" t="s">
        <v>37</v>
      </c>
      <c r="AR10" s="129" t="s">
        <v>303</v>
      </c>
      <c r="AS10" s="130" t="s">
        <v>300</v>
      </c>
    </row>
    <row r="11" spans="1:46" s="10" customFormat="1" ht="15" customHeight="1">
      <c r="A11" s="217">
        <v>1</v>
      </c>
      <c r="B11" s="699"/>
      <c r="C11" s="700"/>
      <c r="D11" s="701" t="s">
        <v>223</v>
      </c>
      <c r="E11" s="702">
        <v>3</v>
      </c>
      <c r="F11" s="703">
        <v>2</v>
      </c>
      <c r="G11" s="700"/>
      <c r="H11" s="704" t="s">
        <v>55</v>
      </c>
      <c r="I11" s="705"/>
      <c r="J11" s="337" t="s">
        <v>400</v>
      </c>
      <c r="K11" s="63" t="s">
        <v>217</v>
      </c>
      <c r="L11" s="340" t="s">
        <v>94</v>
      </c>
      <c r="M11" s="338" t="s">
        <v>401</v>
      </c>
      <c r="N11" s="706">
        <v>40921</v>
      </c>
      <c r="O11" s="64" t="s">
        <v>12</v>
      </c>
      <c r="P11" s="360">
        <v>101</v>
      </c>
      <c r="Q11" s="361">
        <v>188</v>
      </c>
      <c r="R11" s="361">
        <v>2</v>
      </c>
      <c r="S11" s="362">
        <v>334552</v>
      </c>
      <c r="T11" s="707">
        <v>29703</v>
      </c>
      <c r="U11" s="708">
        <v>427742</v>
      </c>
      <c r="V11" s="707">
        <v>37463</v>
      </c>
      <c r="W11" s="708">
        <v>539517</v>
      </c>
      <c r="X11" s="707">
        <v>47193</v>
      </c>
      <c r="Y11" s="689">
        <f>SUM(S11+U11+W11)</f>
        <v>1301811</v>
      </c>
      <c r="Z11" s="690">
        <f>T11+V11+X11</f>
        <v>114359</v>
      </c>
      <c r="AA11" s="364">
        <f>IF(Y11&lt;&gt;0,Z11/Q11,"")</f>
        <v>608.2925531914893</v>
      </c>
      <c r="AB11" s="365">
        <f>IF(Y11&lt;&gt;0,Y11/Z11,"")</f>
        <v>11.383546550774316</v>
      </c>
      <c r="AC11" s="366">
        <v>1556488</v>
      </c>
      <c r="AD11" s="367">
        <f>IF(AC11&lt;&gt;0,-(AC11-Y11)/AC11,"")</f>
        <v>-0.16362284836118235</v>
      </c>
      <c r="AE11" s="368">
        <f>AG11-Y11</f>
        <v>884566</v>
      </c>
      <c r="AF11" s="364">
        <f>AH11-Z11</f>
        <v>94812</v>
      </c>
      <c r="AG11" s="636">
        <v>2186377</v>
      </c>
      <c r="AH11" s="637">
        <v>209171</v>
      </c>
      <c r="AI11" s="367">
        <f>Z11*1/AH11</f>
        <v>0.5467249284078577</v>
      </c>
      <c r="AJ11" s="367">
        <f>AF11*1/AH11</f>
        <v>0.4532750715921423</v>
      </c>
      <c r="AK11" s="364">
        <f>AH11/Q11</f>
        <v>1112.6117021276596</v>
      </c>
      <c r="AL11" s="365">
        <f>AG11/AH11</f>
        <v>10.452581858861889</v>
      </c>
      <c r="AM11" s="369"/>
      <c r="AN11" s="367">
        <f>IF(AM11&lt;&gt;0,-(AM11-AG11)/AM11,"")</f>
      </c>
      <c r="AO11" s="362">
        <v>3488188</v>
      </c>
      <c r="AP11" s="363">
        <v>323530</v>
      </c>
      <c r="AQ11" s="370">
        <f>AO11/AP11</f>
        <v>10.781652396995641</v>
      </c>
      <c r="AR11" s="371">
        <v>40928</v>
      </c>
      <c r="AS11" s="691">
        <v>1</v>
      </c>
      <c r="AT11" s="62"/>
    </row>
    <row r="12" spans="1:46" s="10" customFormat="1" ht="15" customHeight="1">
      <c r="A12" s="218">
        <v>2</v>
      </c>
      <c r="B12" s="709" t="s">
        <v>56</v>
      </c>
      <c r="C12" s="710"/>
      <c r="D12" s="711" t="s">
        <v>223</v>
      </c>
      <c r="E12" s="712">
        <v>3</v>
      </c>
      <c r="F12" s="710"/>
      <c r="G12" s="713" t="s">
        <v>292</v>
      </c>
      <c r="H12" s="714" t="s">
        <v>55</v>
      </c>
      <c r="I12" s="715"/>
      <c r="J12" s="261" t="s">
        <v>451</v>
      </c>
      <c r="K12" s="65" t="s">
        <v>453</v>
      </c>
      <c r="L12" s="66" t="s">
        <v>95</v>
      </c>
      <c r="M12" s="68" t="s">
        <v>452</v>
      </c>
      <c r="N12" s="716">
        <v>40928</v>
      </c>
      <c r="O12" s="68" t="s">
        <v>10</v>
      </c>
      <c r="P12" s="372">
        <v>202</v>
      </c>
      <c r="Q12" s="394">
        <v>202</v>
      </c>
      <c r="R12" s="394">
        <v>1</v>
      </c>
      <c r="S12" s="717">
        <v>255963</v>
      </c>
      <c r="T12" s="718">
        <v>24141</v>
      </c>
      <c r="U12" s="717">
        <v>394972</v>
      </c>
      <c r="V12" s="718">
        <v>36220</v>
      </c>
      <c r="W12" s="717">
        <v>518925</v>
      </c>
      <c r="X12" s="718">
        <v>47797</v>
      </c>
      <c r="Y12" s="673">
        <f>SUM(S12+U12+W12)</f>
        <v>1169860</v>
      </c>
      <c r="Z12" s="674">
        <f>T12+V12+X12</f>
        <v>108158</v>
      </c>
      <c r="AA12" s="376">
        <f>IF(Y12&lt;&gt;0,Z12/Q12,"")</f>
        <v>535.4356435643564</v>
      </c>
      <c r="AB12" s="377">
        <f>IF(Y12&lt;&gt;0,Y12/Z12,"")</f>
        <v>10.816213317553949</v>
      </c>
      <c r="AC12" s="378">
        <v>0</v>
      </c>
      <c r="AD12" s="379">
        <f>IF(AC12&lt;&gt;0,-(AC12-Y12)/AC12,"")</f>
      </c>
      <c r="AE12" s="380"/>
      <c r="AF12" s="376"/>
      <c r="AG12" s="381"/>
      <c r="AH12" s="382"/>
      <c r="AI12" s="379"/>
      <c r="AJ12" s="379"/>
      <c r="AK12" s="376"/>
      <c r="AL12" s="377"/>
      <c r="AM12" s="381"/>
      <c r="AN12" s="379"/>
      <c r="AO12" s="389">
        <v>1169860</v>
      </c>
      <c r="AP12" s="390">
        <v>108158</v>
      </c>
      <c r="AQ12" s="385">
        <f>AO12/AP12</f>
        <v>10.816213317553949</v>
      </c>
      <c r="AR12" s="386">
        <v>40928</v>
      </c>
      <c r="AS12" s="692" t="s">
        <v>357</v>
      </c>
      <c r="AT12" s="62"/>
    </row>
    <row r="13" spans="1:46" s="10" customFormat="1" ht="15" customHeight="1">
      <c r="A13" s="218">
        <v>3</v>
      </c>
      <c r="B13" s="719"/>
      <c r="C13" s="720" t="s">
        <v>261</v>
      </c>
      <c r="D13" s="710"/>
      <c r="E13" s="710"/>
      <c r="F13" s="710"/>
      <c r="G13" s="710"/>
      <c r="H13" s="721"/>
      <c r="I13" s="722" t="s">
        <v>54</v>
      </c>
      <c r="J13" s="243" t="s">
        <v>141</v>
      </c>
      <c r="K13" s="65" t="s">
        <v>142</v>
      </c>
      <c r="L13" s="70"/>
      <c r="M13" s="70" t="s">
        <v>141</v>
      </c>
      <c r="N13" s="723">
        <v>40893</v>
      </c>
      <c r="O13" s="68" t="s">
        <v>8</v>
      </c>
      <c r="P13" s="387">
        <v>131</v>
      </c>
      <c r="Q13" s="388">
        <v>194</v>
      </c>
      <c r="R13" s="388">
        <v>6</v>
      </c>
      <c r="S13" s="724">
        <v>200866</v>
      </c>
      <c r="T13" s="725">
        <v>22465</v>
      </c>
      <c r="U13" s="724">
        <v>278308</v>
      </c>
      <c r="V13" s="725">
        <v>28767</v>
      </c>
      <c r="W13" s="724">
        <v>430741</v>
      </c>
      <c r="X13" s="725">
        <v>44216</v>
      </c>
      <c r="Y13" s="673">
        <f>SUM(S13+U13+W13)</f>
        <v>909915</v>
      </c>
      <c r="Z13" s="674">
        <f>T13+V13+X13</f>
        <v>95448</v>
      </c>
      <c r="AA13" s="376">
        <f>IF(Y13&lt;&gt;0,Z13/Q13,"")</f>
        <v>492</v>
      </c>
      <c r="AB13" s="377">
        <f>IF(Y13&lt;&gt;0,Y13/Z13,"")</f>
        <v>9.533096555192357</v>
      </c>
      <c r="AC13" s="381">
        <v>951995</v>
      </c>
      <c r="AD13" s="379">
        <f>IF(AC13&lt;&gt;0,-(AC13-Y13)/AC13,"")</f>
        <v>-0.0442019128251724</v>
      </c>
      <c r="AE13" s="380">
        <f>AG13-Y13</f>
        <v>626642</v>
      </c>
      <c r="AF13" s="376">
        <f>AH13-Z13</f>
        <v>76512</v>
      </c>
      <c r="AG13" s="391">
        <v>1536557</v>
      </c>
      <c r="AH13" s="392">
        <v>171960</v>
      </c>
      <c r="AI13" s="379">
        <f>Z13*1/AH13</f>
        <v>0.5550593161200279</v>
      </c>
      <c r="AJ13" s="379">
        <f>AF13*1/AH13</f>
        <v>0.4449406838799721</v>
      </c>
      <c r="AK13" s="376">
        <f>AH13/Q13</f>
        <v>886.3917525773196</v>
      </c>
      <c r="AL13" s="377">
        <f>AG13/AH13</f>
        <v>8.935548964875553</v>
      </c>
      <c r="AM13" s="393">
        <v>1826075</v>
      </c>
      <c r="AN13" s="379">
        <f>IF(AM13&lt;&gt;0,-(AM13-AG13)/AM13,"")</f>
        <v>-0.15854660953137192</v>
      </c>
      <c r="AO13" s="391">
        <v>12876761</v>
      </c>
      <c r="AP13" s="392">
        <v>1426452</v>
      </c>
      <c r="AQ13" s="385">
        <f>AO13/AP13</f>
        <v>9.027125343159112</v>
      </c>
      <c r="AR13" s="386">
        <v>40928</v>
      </c>
      <c r="AS13" s="693">
        <v>3</v>
      </c>
      <c r="AT13" s="62"/>
    </row>
    <row r="14" spans="1:46" s="10" customFormat="1" ht="15" customHeight="1">
      <c r="A14" s="218">
        <v>4</v>
      </c>
      <c r="B14" s="719"/>
      <c r="C14" s="710"/>
      <c r="D14" s="710"/>
      <c r="E14" s="710"/>
      <c r="F14" s="710"/>
      <c r="G14" s="710"/>
      <c r="H14" s="726"/>
      <c r="I14" s="722" t="s">
        <v>54</v>
      </c>
      <c r="J14" s="245" t="s">
        <v>350</v>
      </c>
      <c r="K14" s="65" t="s">
        <v>351</v>
      </c>
      <c r="L14" s="72"/>
      <c r="M14" s="72" t="s">
        <v>350</v>
      </c>
      <c r="N14" s="716">
        <v>40914</v>
      </c>
      <c r="O14" s="68" t="s">
        <v>12</v>
      </c>
      <c r="P14" s="372">
        <v>204</v>
      </c>
      <c r="Q14" s="373">
        <v>208</v>
      </c>
      <c r="R14" s="373">
        <v>3</v>
      </c>
      <c r="S14" s="374">
        <v>166587</v>
      </c>
      <c r="T14" s="727">
        <v>17153</v>
      </c>
      <c r="U14" s="728">
        <v>215893</v>
      </c>
      <c r="V14" s="727">
        <v>20404</v>
      </c>
      <c r="W14" s="728">
        <v>261049</v>
      </c>
      <c r="X14" s="727">
        <v>25085</v>
      </c>
      <c r="Y14" s="673">
        <f>SUM(S14+U14+W14)</f>
        <v>643529</v>
      </c>
      <c r="Z14" s="674">
        <f>T14+V14+X14</f>
        <v>62642</v>
      </c>
      <c r="AA14" s="376">
        <f>IF(Y14&lt;&gt;0,Z14/Q14,"")</f>
        <v>301.16346153846155</v>
      </c>
      <c r="AB14" s="377">
        <f>IF(Y14&lt;&gt;0,Y14/Z14,"")</f>
        <v>10.273123463490949</v>
      </c>
      <c r="AC14" s="378">
        <v>908558</v>
      </c>
      <c r="AD14" s="379">
        <f>IF(AC14&lt;&gt;0,-(AC14-Y14)/AC14,"")</f>
        <v>-0.29170289623777457</v>
      </c>
      <c r="AE14" s="380">
        <f>AG14-Y14</f>
        <v>902338</v>
      </c>
      <c r="AF14" s="376">
        <f>AH14-Z14</f>
        <v>104254</v>
      </c>
      <c r="AG14" s="381">
        <v>1545867</v>
      </c>
      <c r="AH14" s="382">
        <v>166896</v>
      </c>
      <c r="AI14" s="379">
        <f>Z14*1/AH14</f>
        <v>0.37533553829930016</v>
      </c>
      <c r="AJ14" s="379">
        <f>AF14*1/AH14</f>
        <v>0.6246644617006999</v>
      </c>
      <c r="AK14" s="376">
        <f>AH14/Q14</f>
        <v>802.3846153846154</v>
      </c>
      <c r="AL14" s="377">
        <f>AG14/AH14</f>
        <v>9.262456859361519</v>
      </c>
      <c r="AM14" s="381">
        <v>1571916</v>
      </c>
      <c r="AN14" s="379">
        <f>IF(AM14&lt;&gt;0,-(AM14-AG14)/AM14,"")</f>
        <v>-0.01657149618681914</v>
      </c>
      <c r="AO14" s="374">
        <v>3761312</v>
      </c>
      <c r="AP14" s="375">
        <v>396407</v>
      </c>
      <c r="AQ14" s="385">
        <f>AO14/AP14</f>
        <v>9.488510545979258</v>
      </c>
      <c r="AR14" s="386">
        <v>40928</v>
      </c>
      <c r="AS14" s="693">
        <v>2</v>
      </c>
      <c r="AT14" s="344"/>
    </row>
    <row r="15" spans="1:46" s="10" customFormat="1" ht="15" customHeight="1">
      <c r="A15" s="218">
        <v>5</v>
      </c>
      <c r="B15" s="729"/>
      <c r="C15" s="710"/>
      <c r="D15" s="710"/>
      <c r="E15" s="710"/>
      <c r="F15" s="710"/>
      <c r="G15" s="710"/>
      <c r="H15" s="721"/>
      <c r="I15" s="715"/>
      <c r="J15" s="261" t="s">
        <v>408</v>
      </c>
      <c r="K15" s="65" t="s">
        <v>93</v>
      </c>
      <c r="L15" s="66" t="s">
        <v>95</v>
      </c>
      <c r="M15" s="68" t="s">
        <v>409</v>
      </c>
      <c r="N15" s="716">
        <v>40556</v>
      </c>
      <c r="O15" s="68" t="s">
        <v>10</v>
      </c>
      <c r="P15" s="372">
        <v>85</v>
      </c>
      <c r="Q15" s="394">
        <v>84</v>
      </c>
      <c r="R15" s="394">
        <v>2</v>
      </c>
      <c r="S15" s="717">
        <v>93755</v>
      </c>
      <c r="T15" s="718">
        <v>7933</v>
      </c>
      <c r="U15" s="717">
        <v>145105</v>
      </c>
      <c r="V15" s="718">
        <v>11455</v>
      </c>
      <c r="W15" s="717">
        <v>145090</v>
      </c>
      <c r="X15" s="718">
        <v>11777</v>
      </c>
      <c r="Y15" s="673">
        <f>SUM(S15+U15+W15)</f>
        <v>383950</v>
      </c>
      <c r="Z15" s="674">
        <f>T15+V15+X15</f>
        <v>31165</v>
      </c>
      <c r="AA15" s="376">
        <f>IF(Y15&lt;&gt;0,Z15/Q15,"")</f>
        <v>371.01190476190476</v>
      </c>
      <c r="AB15" s="377">
        <f>IF(Y15&lt;&gt;0,Y15/Z15,"")</f>
        <v>12.319910155623296</v>
      </c>
      <c r="AC15" s="378">
        <v>495356</v>
      </c>
      <c r="AD15" s="379">
        <f>IF(AC15&lt;&gt;0,-(AC15-Y15)/AC15,"")</f>
        <v>-0.22490087936756595</v>
      </c>
      <c r="AE15" s="380">
        <f>AG15-Y15</f>
        <v>393924</v>
      </c>
      <c r="AF15" s="376">
        <f>AH15-Z15</f>
        <v>39725</v>
      </c>
      <c r="AG15" s="389">
        <v>777874</v>
      </c>
      <c r="AH15" s="390">
        <v>70890</v>
      </c>
      <c r="AI15" s="379">
        <f>Z15*1/AH15</f>
        <v>0.439624770771618</v>
      </c>
      <c r="AJ15" s="379">
        <f>AF15*1/AH15</f>
        <v>0.560375229228382</v>
      </c>
      <c r="AK15" s="376">
        <f>AH15/Q15</f>
        <v>843.9285714285714</v>
      </c>
      <c r="AL15" s="377">
        <f>AG15/AH15</f>
        <v>10.97297221046692</v>
      </c>
      <c r="AM15" s="381"/>
      <c r="AN15" s="379">
        <f>IF(AM15&lt;&gt;0,-(AM15-AG15)/AM15,"")</f>
      </c>
      <c r="AO15" s="389">
        <v>1162284</v>
      </c>
      <c r="AP15" s="390">
        <v>102102</v>
      </c>
      <c r="AQ15" s="385">
        <f>AO15/AP15</f>
        <v>11.383557618851736</v>
      </c>
      <c r="AR15" s="386">
        <v>40928</v>
      </c>
      <c r="AS15" s="693">
        <v>4</v>
      </c>
      <c r="AT15" s="344"/>
    </row>
    <row r="16" spans="1:46" s="10" customFormat="1" ht="15" customHeight="1">
      <c r="A16" s="218">
        <v>6</v>
      </c>
      <c r="B16" s="719"/>
      <c r="C16" s="720" t="s">
        <v>261</v>
      </c>
      <c r="D16" s="710"/>
      <c r="E16" s="710"/>
      <c r="F16" s="730">
        <v>2</v>
      </c>
      <c r="G16" s="713" t="s">
        <v>292</v>
      </c>
      <c r="H16" s="726"/>
      <c r="I16" s="726"/>
      <c r="J16" s="248" t="s">
        <v>222</v>
      </c>
      <c r="K16" s="65" t="s">
        <v>213</v>
      </c>
      <c r="L16" s="66" t="s">
        <v>94</v>
      </c>
      <c r="M16" s="67" t="s">
        <v>222</v>
      </c>
      <c r="N16" s="723">
        <v>40900</v>
      </c>
      <c r="O16" s="68" t="s">
        <v>12</v>
      </c>
      <c r="P16" s="372">
        <v>184</v>
      </c>
      <c r="Q16" s="373">
        <v>172</v>
      </c>
      <c r="R16" s="373">
        <v>5</v>
      </c>
      <c r="S16" s="374">
        <v>86379</v>
      </c>
      <c r="T16" s="727">
        <v>8535</v>
      </c>
      <c r="U16" s="728">
        <v>119823</v>
      </c>
      <c r="V16" s="727">
        <v>10845</v>
      </c>
      <c r="W16" s="728">
        <v>131192</v>
      </c>
      <c r="X16" s="727">
        <v>12189</v>
      </c>
      <c r="Y16" s="673">
        <f>SUM(S16+U16+W16)</f>
        <v>337394</v>
      </c>
      <c r="Z16" s="674">
        <f>T16+V16+X16</f>
        <v>31569</v>
      </c>
      <c r="AA16" s="376">
        <f>IF(Y16&lt;&gt;0,Z16/Q16,"")</f>
        <v>183.5406976744186</v>
      </c>
      <c r="AB16" s="377">
        <f>IF(Y16&lt;&gt;0,Y16/Z16,"")</f>
        <v>10.687509898951504</v>
      </c>
      <c r="AC16" s="378">
        <v>459614</v>
      </c>
      <c r="AD16" s="379">
        <f>IF(AC16&lt;&gt;0,-(AC16-Y16)/AC16,"")</f>
        <v>-0.26591879272607016</v>
      </c>
      <c r="AE16" s="380">
        <f>AG16-Y16</f>
        <v>366280</v>
      </c>
      <c r="AF16" s="376">
        <f>AH16-Z16</f>
        <v>40353</v>
      </c>
      <c r="AG16" s="381">
        <v>703674</v>
      </c>
      <c r="AH16" s="382">
        <v>71922</v>
      </c>
      <c r="AI16" s="379">
        <f>Z16*1/AH16</f>
        <v>0.43893384499874866</v>
      </c>
      <c r="AJ16" s="379">
        <f>AF16*1/AH16</f>
        <v>0.5610661550012513</v>
      </c>
      <c r="AK16" s="376">
        <f>AH16/Q16</f>
        <v>418.1511627906977</v>
      </c>
      <c r="AL16" s="377">
        <f>AG16/AH16</f>
        <v>9.783849169934095</v>
      </c>
      <c r="AM16" s="393">
        <v>924297</v>
      </c>
      <c r="AN16" s="379">
        <f>IF(AM16&lt;&gt;0,-(AM16-AG16)/AM16,"")</f>
        <v>-0.2386927578473153</v>
      </c>
      <c r="AO16" s="374">
        <v>5833567</v>
      </c>
      <c r="AP16" s="375">
        <v>575459</v>
      </c>
      <c r="AQ16" s="385">
        <f>AO16/AP16</f>
        <v>10.137241749629426</v>
      </c>
      <c r="AR16" s="386">
        <v>40928</v>
      </c>
      <c r="AS16" s="693">
        <v>5</v>
      </c>
      <c r="AT16" s="344"/>
    </row>
    <row r="17" spans="1:46" s="10" customFormat="1" ht="15" customHeight="1">
      <c r="A17" s="218">
        <v>7</v>
      </c>
      <c r="B17" s="709" t="s">
        <v>56</v>
      </c>
      <c r="C17" s="710"/>
      <c r="D17" s="710"/>
      <c r="E17" s="710"/>
      <c r="F17" s="710"/>
      <c r="G17" s="710"/>
      <c r="H17" s="726"/>
      <c r="I17" s="726"/>
      <c r="J17" s="245" t="s">
        <v>454</v>
      </c>
      <c r="K17" s="65" t="s">
        <v>91</v>
      </c>
      <c r="L17" s="72" t="s">
        <v>94</v>
      </c>
      <c r="M17" s="72" t="s">
        <v>447</v>
      </c>
      <c r="N17" s="716">
        <v>40928</v>
      </c>
      <c r="O17" s="68" t="s">
        <v>12</v>
      </c>
      <c r="P17" s="731">
        <v>57</v>
      </c>
      <c r="Q17" s="373">
        <v>57</v>
      </c>
      <c r="R17" s="373">
        <v>1</v>
      </c>
      <c r="S17" s="374">
        <v>113020</v>
      </c>
      <c r="T17" s="727">
        <v>10737</v>
      </c>
      <c r="U17" s="728">
        <v>100930</v>
      </c>
      <c r="V17" s="727">
        <v>9104</v>
      </c>
      <c r="W17" s="728">
        <v>116862</v>
      </c>
      <c r="X17" s="727">
        <v>10581</v>
      </c>
      <c r="Y17" s="673">
        <f>SUM(S17+U17+W17)</f>
        <v>330812</v>
      </c>
      <c r="Z17" s="674">
        <f>T17+V17+X17</f>
        <v>30422</v>
      </c>
      <c r="AA17" s="376">
        <f>IF(Y17&lt;&gt;0,Z17/Q17,"")</f>
        <v>533.719298245614</v>
      </c>
      <c r="AB17" s="377">
        <f>IF(Y17&lt;&gt;0,Y17/Z17,"")</f>
        <v>10.874104266649136</v>
      </c>
      <c r="AC17" s="378">
        <v>0</v>
      </c>
      <c r="AD17" s="379">
        <f>IF(AC17&lt;&gt;0,-(AC17-Y17)/AC17,"")</f>
      </c>
      <c r="AE17" s="380"/>
      <c r="AF17" s="376"/>
      <c r="AG17" s="381"/>
      <c r="AH17" s="382"/>
      <c r="AI17" s="379"/>
      <c r="AJ17" s="379"/>
      <c r="AK17" s="376"/>
      <c r="AL17" s="377"/>
      <c r="AM17" s="381"/>
      <c r="AN17" s="379"/>
      <c r="AO17" s="374">
        <v>330812</v>
      </c>
      <c r="AP17" s="375">
        <v>30422</v>
      </c>
      <c r="AQ17" s="385">
        <f>AO17/AP17</f>
        <v>10.874104266649136</v>
      </c>
      <c r="AR17" s="386">
        <v>40928</v>
      </c>
      <c r="AS17" s="693" t="s">
        <v>357</v>
      </c>
      <c r="AT17" s="62"/>
    </row>
    <row r="18" spans="1:46" s="10" customFormat="1" ht="15" customHeight="1">
      <c r="A18" s="218">
        <v>8</v>
      </c>
      <c r="B18" s="719"/>
      <c r="C18" s="720" t="s">
        <v>261</v>
      </c>
      <c r="D18" s="710"/>
      <c r="E18" s="710"/>
      <c r="F18" s="710"/>
      <c r="G18" s="713" t="s">
        <v>292</v>
      </c>
      <c r="H18" s="721"/>
      <c r="I18" s="732"/>
      <c r="J18" s="245" t="s">
        <v>221</v>
      </c>
      <c r="K18" s="65" t="s">
        <v>96</v>
      </c>
      <c r="L18" s="68" t="s">
        <v>95</v>
      </c>
      <c r="M18" s="68" t="s">
        <v>146</v>
      </c>
      <c r="N18" s="723">
        <v>40893</v>
      </c>
      <c r="O18" s="68" t="s">
        <v>10</v>
      </c>
      <c r="P18" s="372">
        <v>133</v>
      </c>
      <c r="Q18" s="394">
        <v>116</v>
      </c>
      <c r="R18" s="394">
        <v>6</v>
      </c>
      <c r="S18" s="717">
        <v>78191</v>
      </c>
      <c r="T18" s="718">
        <v>7613</v>
      </c>
      <c r="U18" s="717">
        <v>94063</v>
      </c>
      <c r="V18" s="718">
        <v>8456</v>
      </c>
      <c r="W18" s="717">
        <v>93631</v>
      </c>
      <c r="X18" s="718">
        <v>8676</v>
      </c>
      <c r="Y18" s="673">
        <f>SUM(S18+U18+W18)</f>
        <v>265885</v>
      </c>
      <c r="Z18" s="674">
        <f>T18+V18+X18</f>
        <v>24745</v>
      </c>
      <c r="AA18" s="376">
        <f>IF(Y18&lt;&gt;0,Z18/Q18,"")</f>
        <v>213.31896551724137</v>
      </c>
      <c r="AB18" s="377">
        <f>IF(Y18&lt;&gt;0,Y18/Z18,"")</f>
        <v>10.744998989694889</v>
      </c>
      <c r="AC18" s="395">
        <v>330959</v>
      </c>
      <c r="AD18" s="379">
        <f>IF(AC18&lt;&gt;0,-(AC18-Y18)/AC18,"")</f>
        <v>-0.1966225423692965</v>
      </c>
      <c r="AE18" s="380">
        <f>AG18-Y18</f>
        <v>298546</v>
      </c>
      <c r="AF18" s="376">
        <f>AH18-Z18</f>
        <v>32816</v>
      </c>
      <c r="AG18" s="389">
        <v>564431</v>
      </c>
      <c r="AH18" s="390">
        <v>57561</v>
      </c>
      <c r="AI18" s="379">
        <f>Z18*1/AH18</f>
        <v>0.42989176699501397</v>
      </c>
      <c r="AJ18" s="379">
        <f>AF18*1/AH18</f>
        <v>0.570108233004986</v>
      </c>
      <c r="AK18" s="376">
        <f>AH18/Q18</f>
        <v>496.2155172413793</v>
      </c>
      <c r="AL18" s="377">
        <f>AG18/AH18</f>
        <v>9.805788641614983</v>
      </c>
      <c r="AM18" s="393">
        <v>766854</v>
      </c>
      <c r="AN18" s="379">
        <f>IF(AM18&lt;&gt;0,-(AM18-AG18)/AM18,"")</f>
        <v>-0.2639655006037655</v>
      </c>
      <c r="AO18" s="389">
        <v>6778585</v>
      </c>
      <c r="AP18" s="390">
        <v>666162</v>
      </c>
      <c r="AQ18" s="385">
        <f>AO18/AP18</f>
        <v>10.17558041437368</v>
      </c>
      <c r="AR18" s="386">
        <v>40928</v>
      </c>
      <c r="AS18" s="693">
        <v>6</v>
      </c>
      <c r="AT18" s="62"/>
    </row>
    <row r="19" spans="1:46" s="10" customFormat="1" ht="15" customHeight="1">
      <c r="A19" s="218">
        <v>9</v>
      </c>
      <c r="B19" s="719"/>
      <c r="C19" s="710"/>
      <c r="D19" s="710"/>
      <c r="E19" s="710"/>
      <c r="F19" s="710"/>
      <c r="G19" s="710"/>
      <c r="H19" s="726"/>
      <c r="I19" s="722" t="s">
        <v>54</v>
      </c>
      <c r="J19" s="443" t="s">
        <v>398</v>
      </c>
      <c r="K19" s="68" t="s">
        <v>399</v>
      </c>
      <c r="L19" s="68"/>
      <c r="M19" s="68" t="s">
        <v>398</v>
      </c>
      <c r="N19" s="716">
        <v>40921</v>
      </c>
      <c r="O19" s="68" t="s">
        <v>52</v>
      </c>
      <c r="P19" s="372">
        <v>49</v>
      </c>
      <c r="Q19" s="394">
        <v>49</v>
      </c>
      <c r="R19" s="394">
        <v>2</v>
      </c>
      <c r="S19" s="717">
        <v>45026</v>
      </c>
      <c r="T19" s="718">
        <v>4110</v>
      </c>
      <c r="U19" s="717">
        <v>75398</v>
      </c>
      <c r="V19" s="718">
        <v>6297</v>
      </c>
      <c r="W19" s="717">
        <v>83571.5</v>
      </c>
      <c r="X19" s="718">
        <v>6957</v>
      </c>
      <c r="Y19" s="673">
        <f>SUM(S19+U19+W19)</f>
        <v>203995.5</v>
      </c>
      <c r="Z19" s="674">
        <f>T19+V19+X19</f>
        <v>17364</v>
      </c>
      <c r="AA19" s="376">
        <f>IF(Y19&lt;&gt;0,Z19/Q19,"")</f>
        <v>354.3673469387755</v>
      </c>
      <c r="AB19" s="377">
        <f>IF(Y19&lt;&gt;0,Y19/Z19,"")</f>
        <v>11.748185901865929</v>
      </c>
      <c r="AC19" s="378">
        <v>208299.5</v>
      </c>
      <c r="AD19" s="379">
        <f>IF(AC19&lt;&gt;0,-(AC19-Y19)/AC19,"")</f>
        <v>-0.020662555599029284</v>
      </c>
      <c r="AE19" s="380">
        <f>AG19-Y19</f>
        <v>153717.5</v>
      </c>
      <c r="AF19" s="376">
        <f>AH19-Z19</f>
        <v>16036</v>
      </c>
      <c r="AG19" s="399">
        <v>357713</v>
      </c>
      <c r="AH19" s="672">
        <v>33400</v>
      </c>
      <c r="AI19" s="379">
        <f>Z19*1/AH19</f>
        <v>0.5198802395209581</v>
      </c>
      <c r="AJ19" s="379">
        <f>AF19*1/AH19</f>
        <v>0.4801197604790419</v>
      </c>
      <c r="AK19" s="376">
        <f>AH19/Q19</f>
        <v>681.6326530612245</v>
      </c>
      <c r="AL19" s="377">
        <f>AG19/AH19</f>
        <v>10.70997005988024</v>
      </c>
      <c r="AM19" s="381"/>
      <c r="AN19" s="379">
        <f>IF(AM19&lt;&gt;0,-(AM19-AG19)/AM19,"")</f>
      </c>
      <c r="AO19" s="733">
        <v>561708.5</v>
      </c>
      <c r="AP19" s="382">
        <v>50764</v>
      </c>
      <c r="AQ19" s="385">
        <f>AO19/AP19</f>
        <v>11.065095343156568</v>
      </c>
      <c r="AR19" s="386">
        <v>40928</v>
      </c>
      <c r="AS19" s="693">
        <v>8</v>
      </c>
      <c r="AT19" s="62"/>
    </row>
    <row r="20" spans="1:46" s="10" customFormat="1" ht="15" customHeight="1">
      <c r="A20" s="218">
        <v>10</v>
      </c>
      <c r="B20" s="709" t="s">
        <v>56</v>
      </c>
      <c r="C20" s="710"/>
      <c r="D20" s="710"/>
      <c r="E20" s="710"/>
      <c r="F20" s="710"/>
      <c r="G20" s="710"/>
      <c r="H20" s="726"/>
      <c r="I20" s="726"/>
      <c r="J20" s="243" t="s">
        <v>448</v>
      </c>
      <c r="K20" s="65" t="s">
        <v>126</v>
      </c>
      <c r="L20" s="70" t="s">
        <v>89</v>
      </c>
      <c r="M20" s="70" t="s">
        <v>449</v>
      </c>
      <c r="N20" s="723">
        <v>40928</v>
      </c>
      <c r="O20" s="68" t="s">
        <v>68</v>
      </c>
      <c r="P20" s="387">
        <v>55</v>
      </c>
      <c r="Q20" s="373">
        <v>55</v>
      </c>
      <c r="R20" s="373">
        <v>1</v>
      </c>
      <c r="S20" s="734">
        <v>49782.5</v>
      </c>
      <c r="T20" s="735">
        <v>4259</v>
      </c>
      <c r="U20" s="734">
        <v>69059.5</v>
      </c>
      <c r="V20" s="735">
        <v>5465</v>
      </c>
      <c r="W20" s="734">
        <v>70868.5</v>
      </c>
      <c r="X20" s="735">
        <v>5655</v>
      </c>
      <c r="Y20" s="673">
        <f>SUM(S20+U20+W20)</f>
        <v>189710.5</v>
      </c>
      <c r="Z20" s="674">
        <f>T20+V20+X20</f>
        <v>15379</v>
      </c>
      <c r="AA20" s="376">
        <f>IF(Y20&lt;&gt;0,Z20/Q20,"")</f>
        <v>279.6181818181818</v>
      </c>
      <c r="AB20" s="377">
        <f>IF(Y20&lt;&gt;0,Y20/Z20,"")</f>
        <v>12.335685025034138</v>
      </c>
      <c r="AC20" s="397">
        <v>0</v>
      </c>
      <c r="AD20" s="379">
        <f>IF(AC20&lt;&gt;0,-(AC20-Y20)/AC20,"")</f>
      </c>
      <c r="AE20" s="380"/>
      <c r="AF20" s="376"/>
      <c r="AG20" s="389"/>
      <c r="AH20" s="390"/>
      <c r="AI20" s="379"/>
      <c r="AJ20" s="379"/>
      <c r="AK20" s="376"/>
      <c r="AL20" s="377"/>
      <c r="AM20" s="393"/>
      <c r="AN20" s="379"/>
      <c r="AO20" s="381">
        <v>189710.5</v>
      </c>
      <c r="AP20" s="398">
        <v>15379</v>
      </c>
      <c r="AQ20" s="385">
        <f>AO20/AP20</f>
        <v>12.335685025034138</v>
      </c>
      <c r="AR20" s="386">
        <v>40928</v>
      </c>
      <c r="AS20" s="692" t="s">
        <v>357</v>
      </c>
      <c r="AT20" s="62"/>
    </row>
    <row r="21" spans="1:46" s="10" customFormat="1" ht="15" customHeight="1">
      <c r="A21" s="218">
        <v>11</v>
      </c>
      <c r="B21" s="719"/>
      <c r="C21" s="720" t="s">
        <v>261</v>
      </c>
      <c r="D21" s="711" t="s">
        <v>223</v>
      </c>
      <c r="E21" s="710"/>
      <c r="F21" s="730">
        <v>2</v>
      </c>
      <c r="G21" s="713" t="s">
        <v>292</v>
      </c>
      <c r="H21" s="714" t="s">
        <v>55</v>
      </c>
      <c r="I21" s="715"/>
      <c r="J21" s="248" t="s">
        <v>144</v>
      </c>
      <c r="K21" s="65" t="s">
        <v>126</v>
      </c>
      <c r="L21" s="69" t="s">
        <v>89</v>
      </c>
      <c r="M21" s="67" t="s">
        <v>145</v>
      </c>
      <c r="N21" s="716">
        <v>40893</v>
      </c>
      <c r="O21" s="68" t="s">
        <v>68</v>
      </c>
      <c r="P21" s="372">
        <v>131</v>
      </c>
      <c r="Q21" s="373">
        <v>117</v>
      </c>
      <c r="R21" s="373">
        <v>6</v>
      </c>
      <c r="S21" s="734">
        <v>31454.5</v>
      </c>
      <c r="T21" s="735">
        <v>3830</v>
      </c>
      <c r="U21" s="734">
        <v>43097.5</v>
      </c>
      <c r="V21" s="735">
        <v>5392</v>
      </c>
      <c r="W21" s="734">
        <v>52580</v>
      </c>
      <c r="X21" s="735">
        <v>6226</v>
      </c>
      <c r="Y21" s="673">
        <f>SUM(S21+U21+W21)</f>
        <v>127132</v>
      </c>
      <c r="Z21" s="674">
        <f>T21+V21+X21</f>
        <v>15448</v>
      </c>
      <c r="AA21" s="376">
        <f>IF(Y21&lt;&gt;0,Z21/Q21,"")</f>
        <v>132.03418803418805</v>
      </c>
      <c r="AB21" s="377">
        <f>IF(Y21&lt;&gt;0,Y21/Z21,"")</f>
        <v>8.229673744174002</v>
      </c>
      <c r="AC21" s="378">
        <v>161684</v>
      </c>
      <c r="AD21" s="379">
        <f>IF(AC21&lt;&gt;0,-(AC21-Y21)/AC21,"")</f>
        <v>-0.21370079908958214</v>
      </c>
      <c r="AE21" s="380">
        <f>AG21-Y21</f>
        <v>127634.5</v>
      </c>
      <c r="AF21" s="376">
        <f>AH21-Z21</f>
        <v>16640</v>
      </c>
      <c r="AG21" s="393">
        <v>254766.5</v>
      </c>
      <c r="AH21" s="398">
        <v>32088</v>
      </c>
      <c r="AI21" s="379">
        <f>Z21*1/AH21</f>
        <v>0.481426078284717</v>
      </c>
      <c r="AJ21" s="379">
        <f>AF21*1/AH21</f>
        <v>0.5185739217152829</v>
      </c>
      <c r="AK21" s="376">
        <f>AH21/Q21</f>
        <v>274.2564102564103</v>
      </c>
      <c r="AL21" s="377">
        <f>AG21/AH21</f>
        <v>7.93961917227624</v>
      </c>
      <c r="AM21" s="393">
        <v>445722</v>
      </c>
      <c r="AN21" s="379">
        <f>IF(AM21&lt;&gt;0,-(AM21-AG21)/AM21,"")</f>
        <v>-0.4284183863484414</v>
      </c>
      <c r="AO21" s="381">
        <v>3726056.5</v>
      </c>
      <c r="AP21" s="398">
        <v>410068</v>
      </c>
      <c r="AQ21" s="385">
        <f>AO21/AP21</f>
        <v>9.086435664328842</v>
      </c>
      <c r="AR21" s="386">
        <v>40928</v>
      </c>
      <c r="AS21" s="693">
        <v>9</v>
      </c>
      <c r="AT21" s="62"/>
    </row>
    <row r="22" spans="1:46" s="10" customFormat="1" ht="15" customHeight="1">
      <c r="A22" s="218">
        <v>12</v>
      </c>
      <c r="B22" s="719"/>
      <c r="C22" s="736"/>
      <c r="D22" s="736"/>
      <c r="E22" s="736"/>
      <c r="F22" s="710"/>
      <c r="G22" s="736"/>
      <c r="H22" s="726"/>
      <c r="I22" s="715"/>
      <c r="J22" s="261" t="s">
        <v>410</v>
      </c>
      <c r="K22" s="65" t="s">
        <v>413</v>
      </c>
      <c r="L22" s="68" t="s">
        <v>411</v>
      </c>
      <c r="M22" s="68" t="s">
        <v>412</v>
      </c>
      <c r="N22" s="716">
        <v>40921</v>
      </c>
      <c r="O22" s="68" t="s">
        <v>386</v>
      </c>
      <c r="P22" s="372">
        <v>30</v>
      </c>
      <c r="Q22" s="373">
        <v>30</v>
      </c>
      <c r="R22" s="373">
        <v>2</v>
      </c>
      <c r="S22" s="737">
        <v>25889.5</v>
      </c>
      <c r="T22" s="738">
        <v>1801</v>
      </c>
      <c r="U22" s="737">
        <v>44091.5</v>
      </c>
      <c r="V22" s="738">
        <v>3000</v>
      </c>
      <c r="W22" s="737">
        <v>47254</v>
      </c>
      <c r="X22" s="738">
        <v>3218</v>
      </c>
      <c r="Y22" s="673">
        <f>SUM(S22+U22+W22)</f>
        <v>117235</v>
      </c>
      <c r="Z22" s="674">
        <f>T22+V22+X22</f>
        <v>8019</v>
      </c>
      <c r="AA22" s="376">
        <f>IF(Y22&lt;&gt;0,Z22/Q22,"")</f>
        <v>267.3</v>
      </c>
      <c r="AB22" s="377">
        <f>IF(Y22&lt;&gt;0,Y22/Z22,"")</f>
        <v>14.619653323357028</v>
      </c>
      <c r="AC22" s="395">
        <v>130369</v>
      </c>
      <c r="AD22" s="379">
        <f>IF(AC22&lt;&gt;0,-(AC22-Y22)/AC22,"")</f>
        <v>-0.10074480896532151</v>
      </c>
      <c r="AE22" s="380">
        <f>AG22-Y22</f>
        <v>91797</v>
      </c>
      <c r="AF22" s="376">
        <f>AH22-Z22</f>
        <v>7474</v>
      </c>
      <c r="AG22" s="400">
        <v>209032</v>
      </c>
      <c r="AH22" s="401">
        <v>15493</v>
      </c>
      <c r="AI22" s="379">
        <f>Z22*1/AH22</f>
        <v>0.517588588394759</v>
      </c>
      <c r="AJ22" s="379">
        <f>AF22*1/AH22</f>
        <v>0.4824114116052411</v>
      </c>
      <c r="AK22" s="376">
        <f>AH22/Q22</f>
        <v>516.4333333333333</v>
      </c>
      <c r="AL22" s="377">
        <f>AG22/AH22</f>
        <v>13.49202865810366</v>
      </c>
      <c r="AM22" s="393"/>
      <c r="AN22" s="379"/>
      <c r="AO22" s="739">
        <v>326266.5</v>
      </c>
      <c r="AP22" s="740">
        <v>23512</v>
      </c>
      <c r="AQ22" s="385">
        <f>AO22/AP22</f>
        <v>13.876594930248384</v>
      </c>
      <c r="AR22" s="386">
        <v>40928</v>
      </c>
      <c r="AS22" s="693">
        <v>10</v>
      </c>
      <c r="AT22" s="62"/>
    </row>
    <row r="23" spans="1:46" s="10" customFormat="1" ht="15" customHeight="1">
      <c r="A23" s="218">
        <v>13</v>
      </c>
      <c r="B23" s="719"/>
      <c r="C23" s="710"/>
      <c r="D23" s="741"/>
      <c r="E23" s="741"/>
      <c r="F23" s="710"/>
      <c r="G23" s="741"/>
      <c r="H23" s="726"/>
      <c r="I23" s="722" t="s">
        <v>54</v>
      </c>
      <c r="J23" s="243" t="s">
        <v>340</v>
      </c>
      <c r="K23" s="70" t="s">
        <v>342</v>
      </c>
      <c r="L23" s="65"/>
      <c r="M23" s="70" t="s">
        <v>340</v>
      </c>
      <c r="N23" s="716">
        <v>40914</v>
      </c>
      <c r="O23" s="68" t="s">
        <v>53</v>
      </c>
      <c r="P23" s="402">
        <v>97</v>
      </c>
      <c r="Q23" s="742">
        <v>96</v>
      </c>
      <c r="R23" s="742">
        <v>3</v>
      </c>
      <c r="S23" s="728">
        <v>19231</v>
      </c>
      <c r="T23" s="727">
        <v>2490</v>
      </c>
      <c r="U23" s="728">
        <v>26549.5</v>
      </c>
      <c r="V23" s="727">
        <v>3220</v>
      </c>
      <c r="W23" s="728">
        <v>38348</v>
      </c>
      <c r="X23" s="727">
        <v>4600</v>
      </c>
      <c r="Y23" s="673">
        <f>SUM(S23+U23+W23)</f>
        <v>84128.5</v>
      </c>
      <c r="Z23" s="674">
        <f>T23+V23+X23</f>
        <v>10310</v>
      </c>
      <c r="AA23" s="376">
        <f>IF(Y23&lt;&gt;0,Z23/Q23,"")</f>
        <v>107.39583333333333</v>
      </c>
      <c r="AB23" s="377">
        <f>IF(Y23&lt;&gt;0,Y23/Z23,"")</f>
        <v>8.159893307468478</v>
      </c>
      <c r="AC23" s="378">
        <v>118459.5</v>
      </c>
      <c r="AD23" s="379">
        <f>IF(AC23&lt;&gt;0,-(AC23-Y23)/AC23,"")</f>
        <v>-0.2898121298840532</v>
      </c>
      <c r="AE23" s="380">
        <f>AG23-Y23</f>
        <v>114230</v>
      </c>
      <c r="AF23" s="376">
        <f>AH23-Z23</f>
        <v>14715</v>
      </c>
      <c r="AG23" s="381">
        <v>198358.5</v>
      </c>
      <c r="AH23" s="382">
        <v>25025</v>
      </c>
      <c r="AI23" s="379">
        <f>Z23*1/AH23</f>
        <v>0.411988011988012</v>
      </c>
      <c r="AJ23" s="379">
        <f>AF23*1/AH23</f>
        <v>0.5880119880119881</v>
      </c>
      <c r="AK23" s="376">
        <f>AH23/Q23</f>
        <v>260.6770833333333</v>
      </c>
      <c r="AL23" s="377">
        <f>AG23/AH23</f>
        <v>7.926413586413586</v>
      </c>
      <c r="AM23" s="381">
        <v>216520</v>
      </c>
      <c r="AN23" s="379">
        <f>IF(AM23&lt;&gt;0,-(AM23-AG23)/AM23,"")</f>
        <v>-0.08387908738222798</v>
      </c>
      <c r="AO23" s="374">
        <v>499007</v>
      </c>
      <c r="AP23" s="375">
        <v>62166</v>
      </c>
      <c r="AQ23" s="385">
        <f>AO23/AP23</f>
        <v>8.027008332529036</v>
      </c>
      <c r="AR23" s="386">
        <v>40928</v>
      </c>
      <c r="AS23" s="693">
        <v>12</v>
      </c>
      <c r="AT23" s="62"/>
    </row>
    <row r="24" spans="1:46" s="10" customFormat="1" ht="15" customHeight="1">
      <c r="A24" s="218">
        <v>14</v>
      </c>
      <c r="B24" s="719"/>
      <c r="C24" s="710"/>
      <c r="D24" s="711" t="s">
        <v>223</v>
      </c>
      <c r="E24" s="710"/>
      <c r="F24" s="710"/>
      <c r="G24" s="710"/>
      <c r="H24" s="726"/>
      <c r="I24" s="726"/>
      <c r="J24" s="243" t="s">
        <v>347</v>
      </c>
      <c r="K24" s="65" t="s">
        <v>126</v>
      </c>
      <c r="L24" s="70" t="s">
        <v>89</v>
      </c>
      <c r="M24" s="70" t="s">
        <v>359</v>
      </c>
      <c r="N24" s="723">
        <v>40914</v>
      </c>
      <c r="O24" s="68" t="s">
        <v>68</v>
      </c>
      <c r="P24" s="372">
        <v>56</v>
      </c>
      <c r="Q24" s="373">
        <v>54</v>
      </c>
      <c r="R24" s="373">
        <v>3</v>
      </c>
      <c r="S24" s="734">
        <v>29656.5</v>
      </c>
      <c r="T24" s="735">
        <v>2894</v>
      </c>
      <c r="U24" s="734">
        <v>25990</v>
      </c>
      <c r="V24" s="735">
        <v>2470</v>
      </c>
      <c r="W24" s="734">
        <v>28289.5</v>
      </c>
      <c r="X24" s="735">
        <v>2654</v>
      </c>
      <c r="Y24" s="673">
        <f>SUM(S24+U24+W24)</f>
        <v>83936</v>
      </c>
      <c r="Z24" s="674">
        <f>T24+V24+X24</f>
        <v>8018</v>
      </c>
      <c r="AA24" s="376">
        <f>IF(Y24&lt;&gt;0,Z24/Q24,"")</f>
        <v>148.4814814814815</v>
      </c>
      <c r="AB24" s="377">
        <f>IF(Y24&lt;&gt;0,Y24/Z24,"")</f>
        <v>10.468445996507857</v>
      </c>
      <c r="AC24" s="397">
        <v>113485.5</v>
      </c>
      <c r="AD24" s="379">
        <f>IF(AC24&lt;&gt;0,-(AC24-Y24)/AC24,"")</f>
        <v>-0.26038128219023576</v>
      </c>
      <c r="AE24" s="380">
        <f>AG24-Y24</f>
        <v>78311.5</v>
      </c>
      <c r="AF24" s="376">
        <f>AH24-Z24</f>
        <v>8750</v>
      </c>
      <c r="AG24" s="393">
        <v>162247.5</v>
      </c>
      <c r="AH24" s="398">
        <v>16768</v>
      </c>
      <c r="AI24" s="379">
        <f>Z24*1/AH24</f>
        <v>0.4781727099236641</v>
      </c>
      <c r="AJ24" s="379">
        <f>AF24*1/AH24</f>
        <v>0.5218272900763359</v>
      </c>
      <c r="AK24" s="376">
        <f>AH24/Q24</f>
        <v>310.51851851851853</v>
      </c>
      <c r="AL24" s="377">
        <f>AG24/AH24</f>
        <v>9.67601979961832</v>
      </c>
      <c r="AM24" s="393">
        <v>212792</v>
      </c>
      <c r="AN24" s="379">
        <f>IF(AM24&lt;&gt;0,-(AM24-AG24)/AM24,"")</f>
        <v>-0.2375300763186586</v>
      </c>
      <c r="AO24" s="381">
        <v>458975.5</v>
      </c>
      <c r="AP24" s="398">
        <v>44728</v>
      </c>
      <c r="AQ24" s="385">
        <f>AO24/AP24</f>
        <v>10.261480504382043</v>
      </c>
      <c r="AR24" s="386">
        <v>40928</v>
      </c>
      <c r="AS24" s="693">
        <v>13</v>
      </c>
      <c r="AT24" s="62"/>
    </row>
    <row r="25" spans="1:46" s="10" customFormat="1" ht="15" customHeight="1">
      <c r="A25" s="218">
        <v>15</v>
      </c>
      <c r="B25" s="719"/>
      <c r="C25" s="710"/>
      <c r="D25" s="710"/>
      <c r="E25" s="712">
        <v>3</v>
      </c>
      <c r="F25" s="710"/>
      <c r="G25" s="710"/>
      <c r="H25" s="726"/>
      <c r="I25" s="726"/>
      <c r="J25" s="243" t="s">
        <v>348</v>
      </c>
      <c r="K25" s="65" t="s">
        <v>126</v>
      </c>
      <c r="L25" s="70" t="s">
        <v>89</v>
      </c>
      <c r="M25" s="70" t="s">
        <v>360</v>
      </c>
      <c r="N25" s="723">
        <v>40914</v>
      </c>
      <c r="O25" s="68" t="s">
        <v>68</v>
      </c>
      <c r="P25" s="372">
        <v>66</v>
      </c>
      <c r="Q25" s="373">
        <v>37</v>
      </c>
      <c r="R25" s="373">
        <v>3</v>
      </c>
      <c r="S25" s="734">
        <v>17405.5</v>
      </c>
      <c r="T25" s="735">
        <v>1889</v>
      </c>
      <c r="U25" s="734">
        <v>19178</v>
      </c>
      <c r="V25" s="735">
        <v>1866</v>
      </c>
      <c r="W25" s="734">
        <v>24502.5</v>
      </c>
      <c r="X25" s="735">
        <v>2292</v>
      </c>
      <c r="Y25" s="673">
        <f>SUM(S25+U25+W25)</f>
        <v>61086</v>
      </c>
      <c r="Z25" s="674">
        <f>T25+V25+X25</f>
        <v>6047</v>
      </c>
      <c r="AA25" s="376">
        <f>IF(Y25&lt;&gt;0,Z25/Q25,"")</f>
        <v>163.43243243243242</v>
      </c>
      <c r="AB25" s="377">
        <f>IF(Y25&lt;&gt;0,Y25/Z25,"")</f>
        <v>10.101868695220771</v>
      </c>
      <c r="AC25" s="397">
        <v>315079.5</v>
      </c>
      <c r="AD25" s="379">
        <f>IF(AC25&lt;&gt;0,-(AC25-Y25)/AC25,"")</f>
        <v>-0.806125120802845</v>
      </c>
      <c r="AE25" s="380">
        <f>AG25-Y25</f>
        <v>480314</v>
      </c>
      <c r="AF25" s="376">
        <f>AH25-Z25</f>
        <v>46790</v>
      </c>
      <c r="AG25" s="393">
        <v>541400</v>
      </c>
      <c r="AH25" s="398">
        <v>52837</v>
      </c>
      <c r="AI25" s="379">
        <f>Z25*1/AH25</f>
        <v>0.1144463160285406</v>
      </c>
      <c r="AJ25" s="379">
        <f>AF25*1/AH25</f>
        <v>0.8855536839714594</v>
      </c>
      <c r="AK25" s="376">
        <f>AH25/Q25</f>
        <v>1428.027027027027</v>
      </c>
      <c r="AL25" s="377">
        <f>AG25/AH25</f>
        <v>10.246607490962772</v>
      </c>
      <c r="AM25" s="393">
        <v>683638.5</v>
      </c>
      <c r="AN25" s="379">
        <f>IF(AM25&lt;&gt;0,-(AM25-AG25)/AM25,"")</f>
        <v>-0.20806098544771834</v>
      </c>
      <c r="AO25" s="381">
        <v>1286124.5</v>
      </c>
      <c r="AP25" s="398">
        <v>124061</v>
      </c>
      <c r="AQ25" s="385">
        <f>AO25/AP25</f>
        <v>10.366871942028519</v>
      </c>
      <c r="AR25" s="386">
        <v>40928</v>
      </c>
      <c r="AS25" s="693">
        <v>7</v>
      </c>
      <c r="AT25" s="62"/>
    </row>
    <row r="26" spans="1:46" s="10" customFormat="1" ht="15" customHeight="1">
      <c r="A26" s="218">
        <v>16</v>
      </c>
      <c r="B26" s="719"/>
      <c r="C26" s="720" t="s">
        <v>261</v>
      </c>
      <c r="D26" s="710"/>
      <c r="E26" s="710"/>
      <c r="F26" s="710"/>
      <c r="G26" s="743"/>
      <c r="H26" s="726"/>
      <c r="I26" s="722" t="s">
        <v>54</v>
      </c>
      <c r="J26" s="248" t="s">
        <v>151</v>
      </c>
      <c r="K26" s="65" t="s">
        <v>218</v>
      </c>
      <c r="L26" s="69"/>
      <c r="M26" s="67" t="s">
        <v>151</v>
      </c>
      <c r="N26" s="716">
        <v>40900</v>
      </c>
      <c r="O26" s="68" t="s">
        <v>68</v>
      </c>
      <c r="P26" s="372">
        <v>197</v>
      </c>
      <c r="Q26" s="373">
        <v>76</v>
      </c>
      <c r="R26" s="373">
        <v>5</v>
      </c>
      <c r="S26" s="734">
        <v>9964</v>
      </c>
      <c r="T26" s="735">
        <v>1512</v>
      </c>
      <c r="U26" s="734">
        <v>13660.5</v>
      </c>
      <c r="V26" s="735">
        <v>1900</v>
      </c>
      <c r="W26" s="734">
        <v>15852.5</v>
      </c>
      <c r="X26" s="735">
        <v>2177</v>
      </c>
      <c r="Y26" s="673">
        <f>SUM(S26+U26+W26)</f>
        <v>39477</v>
      </c>
      <c r="Z26" s="674">
        <f>T26+V26+X26</f>
        <v>5589</v>
      </c>
      <c r="AA26" s="376">
        <f>IF(Y26&lt;&gt;0,Z26/Q26,"")</f>
        <v>73.53947368421052</v>
      </c>
      <c r="AB26" s="377">
        <f>IF(Y26&lt;&gt;0,Y26/Z26,"")</f>
        <v>7.063338701019861</v>
      </c>
      <c r="AC26" s="378">
        <v>114888</v>
      </c>
      <c r="AD26" s="379">
        <f>IF(AC26&lt;&gt;0,-(AC26-Y26)/AC26,"")</f>
        <v>-0.6563870900355129</v>
      </c>
      <c r="AE26" s="380">
        <f>AG26-Y26</f>
        <v>166970</v>
      </c>
      <c r="AF26" s="376">
        <f>AH26-Z26</f>
        <v>23523</v>
      </c>
      <c r="AG26" s="393">
        <v>206447</v>
      </c>
      <c r="AH26" s="398">
        <v>29112</v>
      </c>
      <c r="AI26" s="379">
        <f>Z26*1/AH26</f>
        <v>0.19198268755152514</v>
      </c>
      <c r="AJ26" s="379">
        <f>AF26*1/AH26</f>
        <v>0.8080173124484749</v>
      </c>
      <c r="AK26" s="376">
        <f>AH26/Q26</f>
        <v>383.05263157894734</v>
      </c>
      <c r="AL26" s="377">
        <f>AG26/AH26</f>
        <v>7.091474306128057</v>
      </c>
      <c r="AM26" s="393">
        <v>454728.5</v>
      </c>
      <c r="AN26" s="379">
        <f>IF(AM26&lt;&gt;0,-(AM26-AG26)/AM26,"")</f>
        <v>-0.5459994260311373</v>
      </c>
      <c r="AO26" s="381">
        <v>2343514.5</v>
      </c>
      <c r="AP26" s="398">
        <v>265205</v>
      </c>
      <c r="AQ26" s="385">
        <f>AO26/AP26</f>
        <v>8.83661507135989</v>
      </c>
      <c r="AR26" s="386">
        <v>40928</v>
      </c>
      <c r="AS26" s="693">
        <v>11</v>
      </c>
      <c r="AT26" s="62"/>
    </row>
    <row r="27" spans="1:46" s="10" customFormat="1" ht="15" customHeight="1">
      <c r="A27" s="218">
        <v>17</v>
      </c>
      <c r="B27" s="719"/>
      <c r="C27" s="720" t="s">
        <v>261</v>
      </c>
      <c r="D27" s="736"/>
      <c r="E27" s="736"/>
      <c r="F27" s="710"/>
      <c r="G27" s="736"/>
      <c r="H27" s="744"/>
      <c r="I27" s="722" t="s">
        <v>54</v>
      </c>
      <c r="J27" s="248" t="s">
        <v>107</v>
      </c>
      <c r="K27" s="67" t="s">
        <v>123</v>
      </c>
      <c r="L27" s="69"/>
      <c r="M27" s="67" t="s">
        <v>107</v>
      </c>
      <c r="N27" s="716">
        <v>40879</v>
      </c>
      <c r="O27" s="68" t="s">
        <v>68</v>
      </c>
      <c r="P27" s="372">
        <v>202</v>
      </c>
      <c r="Q27" s="373">
        <v>51</v>
      </c>
      <c r="R27" s="373">
        <v>8</v>
      </c>
      <c r="S27" s="734">
        <v>9758</v>
      </c>
      <c r="T27" s="735">
        <v>1409</v>
      </c>
      <c r="U27" s="734">
        <v>10247</v>
      </c>
      <c r="V27" s="735">
        <v>1435</v>
      </c>
      <c r="W27" s="734">
        <v>15065</v>
      </c>
      <c r="X27" s="735">
        <v>2055</v>
      </c>
      <c r="Y27" s="673">
        <f>SUM(S27+U27+W27)</f>
        <v>35070</v>
      </c>
      <c r="Z27" s="674">
        <f>T27+V27+X27</f>
        <v>4899</v>
      </c>
      <c r="AA27" s="376">
        <f>IF(Y27&lt;&gt;0,Z27/Q27,"")</f>
        <v>96.05882352941177</v>
      </c>
      <c r="AB27" s="377">
        <f>IF(Y27&lt;&gt;0,Y27/Z27,"")</f>
        <v>7.158603796693202</v>
      </c>
      <c r="AC27" s="378">
        <v>58230.5</v>
      </c>
      <c r="AD27" s="379">
        <f>IF(AC27&lt;&gt;0,-(AC27-Y27)/AC27,"")</f>
        <v>-0.3977382986579198</v>
      </c>
      <c r="AE27" s="380">
        <f>AG27-Y27</f>
        <v>61899.5</v>
      </c>
      <c r="AF27" s="376">
        <f>AH27-Z27</f>
        <v>9999</v>
      </c>
      <c r="AG27" s="393">
        <v>96969.5</v>
      </c>
      <c r="AH27" s="398">
        <v>14898</v>
      </c>
      <c r="AI27" s="379">
        <f>Z27*1/AH27</f>
        <v>0.328836085380588</v>
      </c>
      <c r="AJ27" s="379">
        <f>AF27*1/AH27</f>
        <v>0.671163914619412</v>
      </c>
      <c r="AK27" s="376">
        <f>AH27/Q27</f>
        <v>292.11764705882354</v>
      </c>
      <c r="AL27" s="377">
        <f>AG27/AH27</f>
        <v>6.508893811249832</v>
      </c>
      <c r="AM27" s="393">
        <v>131358.5</v>
      </c>
      <c r="AN27" s="379">
        <f>IF(AM27&lt;&gt;0,-(AM27-AG27)/AM27,"")</f>
        <v>-0.261795011362036</v>
      </c>
      <c r="AO27" s="381">
        <v>4105662</v>
      </c>
      <c r="AP27" s="398">
        <v>486186</v>
      </c>
      <c r="AQ27" s="385">
        <f>AO27/AP27</f>
        <v>8.444632301218052</v>
      </c>
      <c r="AR27" s="386">
        <v>40928</v>
      </c>
      <c r="AS27" s="693">
        <v>15</v>
      </c>
      <c r="AT27" s="344"/>
    </row>
    <row r="28" spans="1:46" s="10" customFormat="1" ht="15" customHeight="1">
      <c r="A28" s="218">
        <v>18</v>
      </c>
      <c r="B28" s="719"/>
      <c r="C28" s="720" t="s">
        <v>261</v>
      </c>
      <c r="D28" s="736"/>
      <c r="E28" s="736"/>
      <c r="F28" s="710"/>
      <c r="G28" s="713" t="s">
        <v>292</v>
      </c>
      <c r="H28" s="715"/>
      <c r="I28" s="722" t="s">
        <v>54</v>
      </c>
      <c r="J28" s="258" t="s">
        <v>110</v>
      </c>
      <c r="K28" s="65" t="s">
        <v>113</v>
      </c>
      <c r="L28" s="65"/>
      <c r="M28" s="65" t="s">
        <v>110</v>
      </c>
      <c r="N28" s="716">
        <v>40879</v>
      </c>
      <c r="O28" s="68" t="s">
        <v>53</v>
      </c>
      <c r="P28" s="372">
        <v>135</v>
      </c>
      <c r="Q28" s="742">
        <v>40</v>
      </c>
      <c r="R28" s="742">
        <v>8</v>
      </c>
      <c r="S28" s="728">
        <v>11570</v>
      </c>
      <c r="T28" s="727">
        <v>1759</v>
      </c>
      <c r="U28" s="728">
        <v>8744.5</v>
      </c>
      <c r="V28" s="727">
        <v>1332</v>
      </c>
      <c r="W28" s="728">
        <v>11202</v>
      </c>
      <c r="X28" s="727">
        <v>1726</v>
      </c>
      <c r="Y28" s="673">
        <f>SUM(S28+U28+W28)</f>
        <v>31516.5</v>
      </c>
      <c r="Z28" s="674">
        <f>T28+V28+X28</f>
        <v>4817</v>
      </c>
      <c r="AA28" s="376">
        <f>IF(Y28&lt;&gt;0,Z28/Q28,"")</f>
        <v>120.425</v>
      </c>
      <c r="AB28" s="377">
        <f>IF(Y28&lt;&gt;0,Y28/Z28,"")</f>
        <v>6.5427652065601</v>
      </c>
      <c r="AC28" s="378">
        <v>37074</v>
      </c>
      <c r="AD28" s="379">
        <f>IF(AC28&lt;&gt;0,-(AC28-Y28)/AC28,"")</f>
        <v>-0.14990289690888492</v>
      </c>
      <c r="AE28" s="380">
        <f>AG28-Y28</f>
        <v>39176</v>
      </c>
      <c r="AF28" s="376">
        <f>AH28-Z28</f>
        <v>6133</v>
      </c>
      <c r="AG28" s="381">
        <v>70692.5</v>
      </c>
      <c r="AH28" s="382">
        <v>10950</v>
      </c>
      <c r="AI28" s="379">
        <f>Z28*1/AH28</f>
        <v>0.43990867579908677</v>
      </c>
      <c r="AJ28" s="379">
        <f>AF28*1/AH28</f>
        <v>0.5600913242009132</v>
      </c>
      <c r="AK28" s="376">
        <f>AH28/Q28</f>
        <v>273.75</v>
      </c>
      <c r="AL28" s="377">
        <f>AG28/AH28</f>
        <v>6.455936073059361</v>
      </c>
      <c r="AM28" s="381">
        <v>73341.5</v>
      </c>
      <c r="AN28" s="379">
        <f>IF(AM28&lt;&gt;0,-(AM28-AG28)/AM28,"")</f>
        <v>-0.03611870496240192</v>
      </c>
      <c r="AO28" s="374">
        <v>4362497.5</v>
      </c>
      <c r="AP28" s="375">
        <v>508121</v>
      </c>
      <c r="AQ28" s="385">
        <f>AO28/AP28</f>
        <v>8.585548520923165</v>
      </c>
      <c r="AR28" s="386">
        <v>40928</v>
      </c>
      <c r="AS28" s="693">
        <v>16</v>
      </c>
      <c r="AT28" s="62"/>
    </row>
    <row r="29" spans="1:46" s="10" customFormat="1" ht="15" customHeight="1">
      <c r="A29" s="218">
        <v>19</v>
      </c>
      <c r="B29" s="719"/>
      <c r="C29" s="710"/>
      <c r="D29" s="710"/>
      <c r="E29" s="710"/>
      <c r="F29" s="710"/>
      <c r="G29" s="710"/>
      <c r="H29" s="726"/>
      <c r="I29" s="726"/>
      <c r="J29" s="243" t="s">
        <v>344</v>
      </c>
      <c r="K29" s="65" t="s">
        <v>345</v>
      </c>
      <c r="L29" s="70" t="s">
        <v>189</v>
      </c>
      <c r="M29" s="70" t="s">
        <v>346</v>
      </c>
      <c r="N29" s="723">
        <v>40914</v>
      </c>
      <c r="O29" s="68" t="s">
        <v>8</v>
      </c>
      <c r="P29" s="387">
        <v>36</v>
      </c>
      <c r="Q29" s="388">
        <v>29</v>
      </c>
      <c r="R29" s="388">
        <v>3</v>
      </c>
      <c r="S29" s="724">
        <v>8299</v>
      </c>
      <c r="T29" s="725">
        <v>719</v>
      </c>
      <c r="U29" s="724">
        <v>10581</v>
      </c>
      <c r="V29" s="725">
        <v>863</v>
      </c>
      <c r="W29" s="724">
        <v>11611</v>
      </c>
      <c r="X29" s="725">
        <v>1036</v>
      </c>
      <c r="Y29" s="673">
        <f>SUM(S29+U29+W29)</f>
        <v>30491</v>
      </c>
      <c r="Z29" s="674">
        <f>T29+V29+X29</f>
        <v>2618</v>
      </c>
      <c r="AA29" s="376">
        <f>IF(Y29&lt;&gt;0,Z29/Q29,"")</f>
        <v>90.27586206896552</v>
      </c>
      <c r="AB29" s="377">
        <f>IF(Y29&lt;&gt;0,Y29/Z29,"")</f>
        <v>11.646676852559205</v>
      </c>
      <c r="AC29" s="397">
        <v>98627</v>
      </c>
      <c r="AD29" s="379">
        <f>IF(AC29&lt;&gt;0,-(AC29-Y29)/AC29,"")</f>
        <v>-0.6908453060520953</v>
      </c>
      <c r="AE29" s="380">
        <f>AG29-Y29</f>
        <v>125199</v>
      </c>
      <c r="AF29" s="376">
        <f>AH29-Z29</f>
        <v>10714</v>
      </c>
      <c r="AG29" s="391">
        <v>155690</v>
      </c>
      <c r="AH29" s="392">
        <v>13332</v>
      </c>
      <c r="AI29" s="379">
        <f>Z29*1/AH29</f>
        <v>0.19636963696369636</v>
      </c>
      <c r="AJ29" s="379">
        <f>AF29*1/AH29</f>
        <v>0.8036303630363036</v>
      </c>
      <c r="AK29" s="376">
        <f>AH29/Q29</f>
        <v>459.7241379310345</v>
      </c>
      <c r="AL29" s="377">
        <f>AG29/AH29</f>
        <v>11.677917791779178</v>
      </c>
      <c r="AM29" s="393">
        <v>273878</v>
      </c>
      <c r="AN29" s="379">
        <f>IF(AM29&lt;&gt;0,-(AM29-AG29)/AM29,"")</f>
        <v>-0.4315352091077049</v>
      </c>
      <c r="AO29" s="391">
        <v>460058</v>
      </c>
      <c r="AP29" s="392">
        <v>37874</v>
      </c>
      <c r="AQ29" s="385">
        <f>AO29/AP29</f>
        <v>12.147066589216877</v>
      </c>
      <c r="AR29" s="386">
        <v>40928</v>
      </c>
      <c r="AS29" s="693">
        <v>14</v>
      </c>
      <c r="AT29" s="62"/>
    </row>
    <row r="30" spans="1:46" s="10" customFormat="1" ht="15" customHeight="1">
      <c r="A30" s="218">
        <v>20</v>
      </c>
      <c r="B30" s="719"/>
      <c r="C30" s="710"/>
      <c r="D30" s="710"/>
      <c r="E30" s="710"/>
      <c r="F30" s="710"/>
      <c r="G30" s="710"/>
      <c r="H30" s="726"/>
      <c r="I30" s="726"/>
      <c r="J30" s="245" t="s">
        <v>196</v>
      </c>
      <c r="K30" s="65" t="s">
        <v>212</v>
      </c>
      <c r="L30" s="72" t="s">
        <v>124</v>
      </c>
      <c r="M30" s="72" t="s">
        <v>203</v>
      </c>
      <c r="N30" s="716">
        <v>40907</v>
      </c>
      <c r="O30" s="68" t="s">
        <v>12</v>
      </c>
      <c r="P30" s="372">
        <v>60</v>
      </c>
      <c r="Q30" s="373">
        <v>32</v>
      </c>
      <c r="R30" s="373">
        <v>4</v>
      </c>
      <c r="S30" s="374">
        <v>8152</v>
      </c>
      <c r="T30" s="727">
        <v>1131</v>
      </c>
      <c r="U30" s="728">
        <v>8618</v>
      </c>
      <c r="V30" s="727">
        <v>1141</v>
      </c>
      <c r="W30" s="728">
        <v>10891</v>
      </c>
      <c r="X30" s="727">
        <v>1476</v>
      </c>
      <c r="Y30" s="673">
        <f>SUM(S30+U30+W30)</f>
        <v>27661</v>
      </c>
      <c r="Z30" s="674">
        <f>T30+V30+X30</f>
        <v>3748</v>
      </c>
      <c r="AA30" s="376">
        <f>IF(Y30&lt;&gt;0,Z30/Q30,"")</f>
        <v>117.125</v>
      </c>
      <c r="AB30" s="377">
        <f>IF(Y30&lt;&gt;0,Y30/Z30,"")</f>
        <v>7.380202774813234</v>
      </c>
      <c r="AC30" s="378">
        <v>33956</v>
      </c>
      <c r="AD30" s="379">
        <f>IF(AC30&lt;&gt;0,-(AC30-Y30)/AC30,"")</f>
        <v>-0.18538697137472024</v>
      </c>
      <c r="AE30" s="380">
        <f>AG30-Y30</f>
        <v>31322</v>
      </c>
      <c r="AF30" s="376">
        <f>AH30-Z30</f>
        <v>2889</v>
      </c>
      <c r="AG30" s="381">
        <v>58983</v>
      </c>
      <c r="AH30" s="382">
        <v>6637</v>
      </c>
      <c r="AI30" s="379">
        <f>Z30*1/AH30</f>
        <v>0.5647129727286424</v>
      </c>
      <c r="AJ30" s="379">
        <f>AF30*1/AH30</f>
        <v>0.43528702727135754</v>
      </c>
      <c r="AK30" s="376">
        <f>AH30/Q30</f>
        <v>207.40625</v>
      </c>
      <c r="AL30" s="377">
        <f>AG30/AH30</f>
        <v>8.88699713726081</v>
      </c>
      <c r="AM30" s="381">
        <v>246978</v>
      </c>
      <c r="AN30" s="379">
        <f>IF(AM30&lt;&gt;0,-(AM30-AG30)/AM30,"")</f>
        <v>-0.7611811578359207</v>
      </c>
      <c r="AO30" s="374">
        <v>636121</v>
      </c>
      <c r="AP30" s="375">
        <v>62212</v>
      </c>
      <c r="AQ30" s="385">
        <f>AO30/AP30</f>
        <v>10.225053044428728</v>
      </c>
      <c r="AR30" s="386">
        <v>40928</v>
      </c>
      <c r="AS30" s="693">
        <v>20</v>
      </c>
      <c r="AT30" s="62"/>
    </row>
    <row r="31" spans="1:45" s="10" customFormat="1" ht="15" customHeight="1">
      <c r="A31" s="218">
        <v>21</v>
      </c>
      <c r="B31" s="719"/>
      <c r="C31" s="710"/>
      <c r="D31" s="736"/>
      <c r="E31" s="736"/>
      <c r="F31" s="710"/>
      <c r="G31" s="736"/>
      <c r="H31" s="726"/>
      <c r="I31" s="715"/>
      <c r="J31" s="261" t="s">
        <v>391</v>
      </c>
      <c r="K31" s="65" t="s">
        <v>393</v>
      </c>
      <c r="L31" s="68" t="s">
        <v>260</v>
      </c>
      <c r="M31" s="68" t="s">
        <v>392</v>
      </c>
      <c r="N31" s="716">
        <v>40921</v>
      </c>
      <c r="O31" s="68" t="s">
        <v>332</v>
      </c>
      <c r="P31" s="372">
        <v>16</v>
      </c>
      <c r="Q31" s="373">
        <v>15</v>
      </c>
      <c r="R31" s="373">
        <v>2</v>
      </c>
      <c r="S31" s="383">
        <v>6253</v>
      </c>
      <c r="T31" s="384">
        <v>505</v>
      </c>
      <c r="U31" s="383">
        <v>10200</v>
      </c>
      <c r="V31" s="384">
        <v>777</v>
      </c>
      <c r="W31" s="383">
        <v>10629.5</v>
      </c>
      <c r="X31" s="384">
        <v>807</v>
      </c>
      <c r="Y31" s="673">
        <f>SUM(S31+U31+W31)</f>
        <v>27082.5</v>
      </c>
      <c r="Z31" s="674">
        <f>T31+V31+X31</f>
        <v>2089</v>
      </c>
      <c r="AA31" s="376">
        <f>IF(Y31&lt;&gt;0,Z31/Q31,"")</f>
        <v>139.26666666666668</v>
      </c>
      <c r="AB31" s="377">
        <f>IF(Y31&lt;&gt;0,Y31/Z31,"")</f>
        <v>12.964337003350886</v>
      </c>
      <c r="AC31" s="395">
        <v>38005.5</v>
      </c>
      <c r="AD31" s="379">
        <f>IF(AC31&lt;&gt;0,-(AC31-Y31)/AC31,"")</f>
        <v>-0.28740577021746855</v>
      </c>
      <c r="AE31" s="380">
        <f>AG31-Y31</f>
        <v>36818.5</v>
      </c>
      <c r="AF31" s="376">
        <f>AH31-Z31</f>
        <v>3038</v>
      </c>
      <c r="AG31" s="381">
        <v>63901</v>
      </c>
      <c r="AH31" s="382">
        <v>5127</v>
      </c>
      <c r="AI31" s="379">
        <f>Z31*1/AH31</f>
        <v>0.4074507509264677</v>
      </c>
      <c r="AJ31" s="379">
        <f>AF31*1/AH31</f>
        <v>0.5925492490735322</v>
      </c>
      <c r="AK31" s="376">
        <f>AH31/Q31</f>
        <v>341.8</v>
      </c>
      <c r="AL31" s="377">
        <f>AG31/AH31</f>
        <v>12.463623951628632</v>
      </c>
      <c r="AM31" s="393"/>
      <c r="AN31" s="379">
        <f>IF(AM31&lt;&gt;0,-(AM31-AG31)/AM31,"")</f>
      </c>
      <c r="AO31" s="381">
        <v>90983.5</v>
      </c>
      <c r="AP31" s="382">
        <v>7216</v>
      </c>
      <c r="AQ31" s="385">
        <f>AO31/AP31</f>
        <v>12.608578159645234</v>
      </c>
      <c r="AR31" s="386">
        <v>40928</v>
      </c>
      <c r="AS31" s="693">
        <v>18</v>
      </c>
    </row>
    <row r="32" spans="1:45" s="10" customFormat="1" ht="15" customHeight="1">
      <c r="A32" s="218">
        <v>22</v>
      </c>
      <c r="B32" s="719"/>
      <c r="C32" s="720" t="s">
        <v>261</v>
      </c>
      <c r="D32" s="710"/>
      <c r="E32" s="710"/>
      <c r="F32" s="710"/>
      <c r="G32" s="710"/>
      <c r="H32" s="721"/>
      <c r="I32" s="722" t="s">
        <v>54</v>
      </c>
      <c r="J32" s="245" t="s">
        <v>104</v>
      </c>
      <c r="K32" s="65" t="s">
        <v>105</v>
      </c>
      <c r="L32" s="68"/>
      <c r="M32" s="68" t="s">
        <v>104</v>
      </c>
      <c r="N32" s="723">
        <v>40872</v>
      </c>
      <c r="O32" s="68" t="s">
        <v>10</v>
      </c>
      <c r="P32" s="372">
        <v>277</v>
      </c>
      <c r="Q32" s="394">
        <v>30</v>
      </c>
      <c r="R32" s="394">
        <v>9</v>
      </c>
      <c r="S32" s="717">
        <v>4331</v>
      </c>
      <c r="T32" s="718">
        <v>715</v>
      </c>
      <c r="U32" s="717">
        <v>7965</v>
      </c>
      <c r="V32" s="718">
        <v>1095</v>
      </c>
      <c r="W32" s="717">
        <v>8360</v>
      </c>
      <c r="X32" s="718">
        <v>1202</v>
      </c>
      <c r="Y32" s="673">
        <f>SUM(S32+U32+W32)</f>
        <v>20656</v>
      </c>
      <c r="Z32" s="674">
        <f>T32+V32+X32</f>
        <v>3012</v>
      </c>
      <c r="AA32" s="376">
        <f>IF(Y32&lt;&gt;0,Z32/Q32,"")</f>
        <v>100.4</v>
      </c>
      <c r="AB32" s="377">
        <f>IF(Y32&lt;&gt;0,Y32/Z32,"")</f>
        <v>6.857901726427623</v>
      </c>
      <c r="AC32" s="395">
        <v>36410</v>
      </c>
      <c r="AD32" s="379">
        <f>IF(AC32&lt;&gt;0,-(AC32-Y32)/AC32,"")</f>
        <v>-0.4326833287558363</v>
      </c>
      <c r="AE32" s="380">
        <f>AG32-Y32</f>
        <v>43826</v>
      </c>
      <c r="AF32" s="376">
        <f>AH32-Z32</f>
        <v>4897</v>
      </c>
      <c r="AG32" s="389">
        <v>64482</v>
      </c>
      <c r="AH32" s="390">
        <v>7909</v>
      </c>
      <c r="AI32" s="379">
        <f>Z32*1/AH32</f>
        <v>0.38083196358578836</v>
      </c>
      <c r="AJ32" s="379">
        <f>AF32*1/AH32</f>
        <v>0.6191680364142117</v>
      </c>
      <c r="AK32" s="376">
        <f>AH32/Q32</f>
        <v>263.6333333333333</v>
      </c>
      <c r="AL32" s="377">
        <f>AG32/AH32</f>
        <v>8.15299026425591</v>
      </c>
      <c r="AM32" s="393">
        <v>130209</v>
      </c>
      <c r="AN32" s="379">
        <f>IF(AM32&lt;&gt;0,-(AM32-AG32)/AM32,"")</f>
        <v>-0.5047807755224293</v>
      </c>
      <c r="AO32" s="389">
        <v>10912696</v>
      </c>
      <c r="AP32" s="390">
        <v>1166280</v>
      </c>
      <c r="AQ32" s="385">
        <f>AO32/AP32</f>
        <v>9.35684055286895</v>
      </c>
      <c r="AR32" s="386">
        <v>40928</v>
      </c>
      <c r="AS32" s="693">
        <v>17</v>
      </c>
    </row>
    <row r="33" spans="1:45" s="10" customFormat="1" ht="15" customHeight="1">
      <c r="A33" s="218">
        <v>23</v>
      </c>
      <c r="B33" s="719"/>
      <c r="C33" s="710"/>
      <c r="D33" s="710"/>
      <c r="E33" s="710"/>
      <c r="F33" s="710"/>
      <c r="G33" s="710"/>
      <c r="H33" s="726"/>
      <c r="I33" s="726"/>
      <c r="J33" s="248" t="s">
        <v>224</v>
      </c>
      <c r="K33" s="65" t="s">
        <v>193</v>
      </c>
      <c r="L33" s="69" t="s">
        <v>128</v>
      </c>
      <c r="M33" s="67" t="s">
        <v>191</v>
      </c>
      <c r="N33" s="723">
        <v>40907</v>
      </c>
      <c r="O33" s="68" t="s">
        <v>68</v>
      </c>
      <c r="P33" s="372">
        <v>19</v>
      </c>
      <c r="Q33" s="373">
        <v>13</v>
      </c>
      <c r="R33" s="373">
        <v>4</v>
      </c>
      <c r="S33" s="734">
        <v>3357.5</v>
      </c>
      <c r="T33" s="735">
        <v>339</v>
      </c>
      <c r="U33" s="734">
        <v>4662.5</v>
      </c>
      <c r="V33" s="735">
        <v>429</v>
      </c>
      <c r="W33" s="734">
        <v>4869</v>
      </c>
      <c r="X33" s="735">
        <v>468</v>
      </c>
      <c r="Y33" s="673">
        <f>SUM(S33+U33+W33)</f>
        <v>12889</v>
      </c>
      <c r="Z33" s="674">
        <f>T33+V33+X33</f>
        <v>1236</v>
      </c>
      <c r="AA33" s="376">
        <f>IF(Y33&lt;&gt;0,Z33/Q33,"")</f>
        <v>95.07692307692308</v>
      </c>
      <c r="AB33" s="377">
        <f>IF(Y33&lt;&gt;0,Y33/Z33,"")</f>
        <v>10.427993527508091</v>
      </c>
      <c r="AC33" s="378">
        <v>18577</v>
      </c>
      <c r="AD33" s="379">
        <f>IF(AC33&lt;&gt;0,-(AC33-Y33)/AC33,"")</f>
        <v>-0.3061850675566561</v>
      </c>
      <c r="AE33" s="380">
        <f>AG33-Y33</f>
        <v>15443.5</v>
      </c>
      <c r="AF33" s="376">
        <f>AH33-Z33</f>
        <v>1232</v>
      </c>
      <c r="AG33" s="393">
        <v>28332.5</v>
      </c>
      <c r="AH33" s="398">
        <v>2468</v>
      </c>
      <c r="AI33" s="379">
        <f>Z33*1/AH33</f>
        <v>0.5008103727714749</v>
      </c>
      <c r="AJ33" s="379">
        <f>AF33*1/AH33</f>
        <v>0.4991896272285251</v>
      </c>
      <c r="AK33" s="376">
        <f>AH33/Q33</f>
        <v>189.84615384615384</v>
      </c>
      <c r="AL33" s="377">
        <f>AG33/AH33</f>
        <v>11.479943273905997</v>
      </c>
      <c r="AM33" s="393">
        <v>115157</v>
      </c>
      <c r="AN33" s="379">
        <f>IF(AM33&lt;&gt;0,-(AM33-AG33)/AM33,"")</f>
        <v>-0.7539663242356088</v>
      </c>
      <c r="AO33" s="381">
        <v>265009.5</v>
      </c>
      <c r="AP33" s="398">
        <v>20884</v>
      </c>
      <c r="AQ33" s="385">
        <f>AO33/AP33</f>
        <v>12.689594905190576</v>
      </c>
      <c r="AR33" s="386">
        <v>40928</v>
      </c>
      <c r="AS33" s="693">
        <v>21</v>
      </c>
    </row>
    <row r="34" spans="1:46" s="10" customFormat="1" ht="15" customHeight="1">
      <c r="A34" s="218">
        <v>24</v>
      </c>
      <c r="B34" s="719"/>
      <c r="C34" s="720" t="s">
        <v>261</v>
      </c>
      <c r="D34" s="710"/>
      <c r="E34" s="710"/>
      <c r="F34" s="710"/>
      <c r="G34" s="710"/>
      <c r="H34" s="726"/>
      <c r="I34" s="722" t="s">
        <v>54</v>
      </c>
      <c r="J34" s="248" t="s">
        <v>67</v>
      </c>
      <c r="K34" s="67" t="s">
        <v>85</v>
      </c>
      <c r="L34" s="67"/>
      <c r="M34" s="67" t="s">
        <v>67</v>
      </c>
      <c r="N34" s="716">
        <v>40844</v>
      </c>
      <c r="O34" s="68" t="s">
        <v>68</v>
      </c>
      <c r="P34" s="372">
        <v>278</v>
      </c>
      <c r="Q34" s="373">
        <v>9</v>
      </c>
      <c r="R34" s="373">
        <v>13</v>
      </c>
      <c r="S34" s="734">
        <v>2437</v>
      </c>
      <c r="T34" s="735">
        <v>441</v>
      </c>
      <c r="U34" s="734">
        <v>2500</v>
      </c>
      <c r="V34" s="735">
        <v>283</v>
      </c>
      <c r="W34" s="734">
        <v>3273</v>
      </c>
      <c r="X34" s="735">
        <v>546</v>
      </c>
      <c r="Y34" s="673">
        <f>SUM(S34+U34+W34)</f>
        <v>8210</v>
      </c>
      <c r="Z34" s="674">
        <f>T34+V34+X34</f>
        <v>1270</v>
      </c>
      <c r="AA34" s="376">
        <f>IF(Y34&lt;&gt;0,Z34/Q34,"")</f>
        <v>141.11111111111111</v>
      </c>
      <c r="AB34" s="377">
        <f>IF(Y34&lt;&gt;0,Y34/Z34,"")</f>
        <v>6.464566929133858</v>
      </c>
      <c r="AC34" s="378">
        <v>10178</v>
      </c>
      <c r="AD34" s="379">
        <f>IF(AC34&lt;&gt;0,-(AC34-Y34)/AC34,"")</f>
        <v>-0.1933582236195716</v>
      </c>
      <c r="AE34" s="380">
        <f>AG34-Y34</f>
        <v>9012.5</v>
      </c>
      <c r="AF34" s="376">
        <f>AH34-Z34</f>
        <v>618</v>
      </c>
      <c r="AG34" s="393">
        <v>17222.5</v>
      </c>
      <c r="AH34" s="398">
        <v>1888</v>
      </c>
      <c r="AI34" s="379">
        <f>Z34*1/AH34</f>
        <v>0.6726694915254238</v>
      </c>
      <c r="AJ34" s="379">
        <f>AF34*1/AH34</f>
        <v>0.3273305084745763</v>
      </c>
      <c r="AK34" s="376">
        <f>AH34/Q34</f>
        <v>209.77777777777777</v>
      </c>
      <c r="AL34" s="377">
        <f>AG34/AH34</f>
        <v>9.12208686440678</v>
      </c>
      <c r="AM34" s="393">
        <v>3397.5</v>
      </c>
      <c r="AN34" s="379">
        <f>IF(AM34&lt;&gt;0,-(AM34-AG34)/AM34,"")</f>
        <v>4.069168506254599</v>
      </c>
      <c r="AO34" s="381">
        <v>10259393</v>
      </c>
      <c r="AP34" s="398">
        <v>1184945</v>
      </c>
      <c r="AQ34" s="385">
        <f>AO34/AP34</f>
        <v>8.65811746536759</v>
      </c>
      <c r="AR34" s="386">
        <v>40928</v>
      </c>
      <c r="AS34" s="693">
        <v>22</v>
      </c>
      <c r="AT34" s="343"/>
    </row>
    <row r="35" spans="1:46" s="10" customFormat="1" ht="15" customHeight="1">
      <c r="A35" s="218">
        <v>25</v>
      </c>
      <c r="B35" s="719"/>
      <c r="C35" s="710"/>
      <c r="D35" s="710"/>
      <c r="E35" s="710"/>
      <c r="F35" s="710"/>
      <c r="G35" s="710"/>
      <c r="H35" s="726"/>
      <c r="I35" s="726"/>
      <c r="J35" s="254" t="s">
        <v>214</v>
      </c>
      <c r="K35" s="70" t="s">
        <v>216</v>
      </c>
      <c r="L35" s="68" t="s">
        <v>95</v>
      </c>
      <c r="M35" s="70" t="s">
        <v>215</v>
      </c>
      <c r="N35" s="716">
        <v>40907</v>
      </c>
      <c r="O35" s="68" t="s">
        <v>10</v>
      </c>
      <c r="P35" s="406">
        <v>64</v>
      </c>
      <c r="Q35" s="394">
        <v>7</v>
      </c>
      <c r="R35" s="394">
        <v>4</v>
      </c>
      <c r="S35" s="717">
        <v>2412</v>
      </c>
      <c r="T35" s="718">
        <v>319</v>
      </c>
      <c r="U35" s="717">
        <v>1771</v>
      </c>
      <c r="V35" s="718">
        <v>226</v>
      </c>
      <c r="W35" s="717">
        <v>2418</v>
      </c>
      <c r="X35" s="718">
        <v>298</v>
      </c>
      <c r="Y35" s="673">
        <f>SUM(S35+U35+W35)</f>
        <v>6601</v>
      </c>
      <c r="Z35" s="674">
        <f>T35+V35+X35</f>
        <v>843</v>
      </c>
      <c r="AA35" s="376">
        <f>IF(Y35&lt;&gt;0,Z35/Q35,"")</f>
        <v>120.42857142857143</v>
      </c>
      <c r="AB35" s="377">
        <f>IF(Y35&lt;&gt;0,Y35/Z35,"")</f>
        <v>7.8303677342823255</v>
      </c>
      <c r="AC35" s="378">
        <v>35602</v>
      </c>
      <c r="AD35" s="379">
        <f>IF(AC35&lt;&gt;0,-(AC35-Y35)/AC35,"")</f>
        <v>-0.814589068029886</v>
      </c>
      <c r="AE35" s="380">
        <f>AG35-Y35</f>
        <v>57088</v>
      </c>
      <c r="AF35" s="376">
        <f>AH35-Z35</f>
        <v>4779</v>
      </c>
      <c r="AG35" s="389">
        <v>63689</v>
      </c>
      <c r="AH35" s="390">
        <v>5622</v>
      </c>
      <c r="AI35" s="379">
        <f>Z35*1/AH35</f>
        <v>0.14994663820704376</v>
      </c>
      <c r="AJ35" s="379">
        <f>AF35*1/AH35</f>
        <v>0.8500533617929562</v>
      </c>
      <c r="AK35" s="376">
        <f>AH35/Q35</f>
        <v>803.1428571428571</v>
      </c>
      <c r="AL35" s="377">
        <f>AG35/AH35</f>
        <v>11.328530771967271</v>
      </c>
      <c r="AM35" s="393">
        <v>236412</v>
      </c>
      <c r="AN35" s="379">
        <f>IF(AM35&lt;&gt;0,-(AM35-AG35)/AM35,"")</f>
        <v>-0.7306016615061841</v>
      </c>
      <c r="AO35" s="389">
        <v>668610</v>
      </c>
      <c r="AP35" s="390">
        <v>58820</v>
      </c>
      <c r="AQ35" s="385">
        <f>AO35/AP35</f>
        <v>11.367052023121387</v>
      </c>
      <c r="AR35" s="386">
        <v>40928</v>
      </c>
      <c r="AS35" s="693">
        <v>19</v>
      </c>
      <c r="AT35" s="62"/>
    </row>
    <row r="36" spans="1:46" s="10" customFormat="1" ht="15" customHeight="1">
      <c r="A36" s="218">
        <v>26</v>
      </c>
      <c r="B36" s="745"/>
      <c r="C36" s="720" t="s">
        <v>261</v>
      </c>
      <c r="D36" s="736"/>
      <c r="E36" s="736"/>
      <c r="F36" s="710"/>
      <c r="G36" s="736"/>
      <c r="H36" s="726"/>
      <c r="I36" s="715"/>
      <c r="J36" s="261" t="s">
        <v>395</v>
      </c>
      <c r="K36" s="65" t="s">
        <v>394</v>
      </c>
      <c r="L36" s="68" t="s">
        <v>248</v>
      </c>
      <c r="M36" s="68" t="s">
        <v>396</v>
      </c>
      <c r="N36" s="716">
        <v>40893</v>
      </c>
      <c r="O36" s="68" t="s">
        <v>332</v>
      </c>
      <c r="P36" s="372">
        <v>8</v>
      </c>
      <c r="Q36" s="373">
        <v>7</v>
      </c>
      <c r="R36" s="373">
        <v>4</v>
      </c>
      <c r="S36" s="383">
        <v>1501.5</v>
      </c>
      <c r="T36" s="384">
        <v>162</v>
      </c>
      <c r="U36" s="383">
        <v>2762.5</v>
      </c>
      <c r="V36" s="384">
        <v>296</v>
      </c>
      <c r="W36" s="383">
        <v>1662.5</v>
      </c>
      <c r="X36" s="384">
        <v>201</v>
      </c>
      <c r="Y36" s="673">
        <f>SUM(S36+U36+W36)</f>
        <v>5926.5</v>
      </c>
      <c r="Z36" s="674">
        <f>T36+V36+X36</f>
        <v>659</v>
      </c>
      <c r="AA36" s="376">
        <f>IF(Y36&lt;&gt;0,Z36/Q36,"")</f>
        <v>94.14285714285714</v>
      </c>
      <c r="AB36" s="377">
        <f>IF(Y36&lt;&gt;0,Y36/Z36,"")</f>
        <v>8.993171471927162</v>
      </c>
      <c r="AC36" s="395">
        <v>97</v>
      </c>
      <c r="AD36" s="379">
        <f>IF(AC36&lt;&gt;0,-(AC36-Y36)/AC36,"")</f>
        <v>60.097938144329895</v>
      </c>
      <c r="AE36" s="380">
        <f>AG36-Y36</f>
        <v>-5813.5</v>
      </c>
      <c r="AF36" s="376">
        <f>AH36-Z36</f>
        <v>-645</v>
      </c>
      <c r="AG36" s="381">
        <v>113</v>
      </c>
      <c r="AH36" s="382">
        <v>14</v>
      </c>
      <c r="AI36" s="379">
        <f>Z36*1/AH36</f>
        <v>47.07142857142857</v>
      </c>
      <c r="AJ36" s="379">
        <f>AF36*1/AH36</f>
        <v>-46.07142857142857</v>
      </c>
      <c r="AK36" s="376">
        <f>AH36/Q36</f>
        <v>2</v>
      </c>
      <c r="AL36" s="377">
        <f>AG36/AH36</f>
        <v>8.071428571428571</v>
      </c>
      <c r="AM36" s="393"/>
      <c r="AN36" s="379">
        <f>IF(AM36&lt;&gt;0,-(AM36-AG36)/AM36,"")</f>
      </c>
      <c r="AO36" s="381">
        <v>30470.5</v>
      </c>
      <c r="AP36" s="382">
        <v>2569</v>
      </c>
      <c r="AQ36" s="385">
        <f>AO36/AP36</f>
        <v>11.8608407940833</v>
      </c>
      <c r="AR36" s="386">
        <v>40928</v>
      </c>
      <c r="AS36" s="693">
        <v>62</v>
      </c>
      <c r="AT36" s="62"/>
    </row>
    <row r="37" spans="1:46" s="10" customFormat="1" ht="15" customHeight="1">
      <c r="A37" s="218">
        <v>27</v>
      </c>
      <c r="B37" s="746"/>
      <c r="C37" s="720" t="s">
        <v>261</v>
      </c>
      <c r="D37" s="741"/>
      <c r="E37" s="741"/>
      <c r="F37" s="710"/>
      <c r="G37" s="741"/>
      <c r="H37" s="714" t="s">
        <v>55</v>
      </c>
      <c r="I37" s="722" t="s">
        <v>54</v>
      </c>
      <c r="J37" s="254" t="s">
        <v>74</v>
      </c>
      <c r="K37" s="71" t="s">
        <v>80</v>
      </c>
      <c r="L37" s="71"/>
      <c r="M37" s="71" t="s">
        <v>74</v>
      </c>
      <c r="N37" s="716">
        <v>40851</v>
      </c>
      <c r="O37" s="68" t="s">
        <v>53</v>
      </c>
      <c r="P37" s="387">
        <v>247</v>
      </c>
      <c r="Q37" s="742">
        <v>2</v>
      </c>
      <c r="R37" s="742">
        <v>12</v>
      </c>
      <c r="S37" s="728">
        <v>1504</v>
      </c>
      <c r="T37" s="727">
        <v>301</v>
      </c>
      <c r="U37" s="728">
        <v>1554</v>
      </c>
      <c r="V37" s="727">
        <v>306</v>
      </c>
      <c r="W37" s="728">
        <v>1818</v>
      </c>
      <c r="X37" s="727">
        <v>362</v>
      </c>
      <c r="Y37" s="673">
        <f>SUM(S37+U37+W37)</f>
        <v>4876</v>
      </c>
      <c r="Z37" s="674">
        <f>T37+V37+X37</f>
        <v>969</v>
      </c>
      <c r="AA37" s="376">
        <f>IF(Y37&lt;&gt;0,Z37/Q37,"")</f>
        <v>484.5</v>
      </c>
      <c r="AB37" s="377">
        <f>IF(Y37&lt;&gt;0,Y37/Z37,"")</f>
        <v>5.0319917440660475</v>
      </c>
      <c r="AC37" s="378">
        <v>471</v>
      </c>
      <c r="AD37" s="379">
        <f>IF(AC37&lt;&gt;0,-(AC37-Y37)/AC37,"")</f>
        <v>9.35244161358811</v>
      </c>
      <c r="AE37" s="380">
        <f>AG37-Y37</f>
        <v>-4122</v>
      </c>
      <c r="AF37" s="376">
        <f>AH37-Z37</f>
        <v>-865</v>
      </c>
      <c r="AG37" s="381">
        <v>754</v>
      </c>
      <c r="AH37" s="382">
        <v>104</v>
      </c>
      <c r="AI37" s="379">
        <f>Z37*1/AH37</f>
        <v>9.317307692307692</v>
      </c>
      <c r="AJ37" s="379">
        <f>AF37*1/AH37</f>
        <v>-8.317307692307692</v>
      </c>
      <c r="AK37" s="376">
        <f>AH37/Q37</f>
        <v>52</v>
      </c>
      <c r="AL37" s="377">
        <f>AG37/AH37</f>
        <v>7.25</v>
      </c>
      <c r="AM37" s="381">
        <v>13126</v>
      </c>
      <c r="AN37" s="379">
        <f>IF(AM37&lt;&gt;0,-(AM37-AG37)/AM37,"")</f>
        <v>-0.9425567575803748</v>
      </c>
      <c r="AO37" s="374">
        <v>15648530.75</v>
      </c>
      <c r="AP37" s="375">
        <v>2222968</v>
      </c>
      <c r="AQ37" s="385">
        <f>AO37/AP37</f>
        <v>7.039476389223776</v>
      </c>
      <c r="AR37" s="386">
        <v>40928</v>
      </c>
      <c r="AS37" s="693">
        <v>50</v>
      </c>
      <c r="AT37" s="62"/>
    </row>
    <row r="38" spans="1:46" s="10" customFormat="1" ht="15" customHeight="1">
      <c r="A38" s="218">
        <v>28</v>
      </c>
      <c r="B38" s="719"/>
      <c r="C38" s="720" t="s">
        <v>261</v>
      </c>
      <c r="D38" s="710"/>
      <c r="E38" s="710"/>
      <c r="F38" s="710"/>
      <c r="G38" s="710"/>
      <c r="H38" s="726"/>
      <c r="I38" s="726"/>
      <c r="J38" s="243" t="s">
        <v>149</v>
      </c>
      <c r="K38" s="65" t="s">
        <v>184</v>
      </c>
      <c r="L38" s="70" t="s">
        <v>189</v>
      </c>
      <c r="M38" s="70" t="s">
        <v>150</v>
      </c>
      <c r="N38" s="723">
        <v>40830</v>
      </c>
      <c r="O38" s="68" t="s">
        <v>8</v>
      </c>
      <c r="P38" s="387">
        <v>60</v>
      </c>
      <c r="Q38" s="388">
        <v>4</v>
      </c>
      <c r="R38" s="388">
        <v>11</v>
      </c>
      <c r="S38" s="717">
        <v>1705</v>
      </c>
      <c r="T38" s="718">
        <v>257</v>
      </c>
      <c r="U38" s="717">
        <v>1301</v>
      </c>
      <c r="V38" s="718">
        <v>179</v>
      </c>
      <c r="W38" s="717">
        <v>1486</v>
      </c>
      <c r="X38" s="718">
        <v>208</v>
      </c>
      <c r="Y38" s="673">
        <f>SUM(S38+U38+W38)</f>
        <v>4492</v>
      </c>
      <c r="Z38" s="674">
        <f>T38+V38+X38</f>
        <v>644</v>
      </c>
      <c r="AA38" s="376">
        <f>IF(Y38&lt;&gt;0,Z38/Q38,"")</f>
        <v>161</v>
      </c>
      <c r="AB38" s="377">
        <f>IF(Y38&lt;&gt;0,Y38/Z38,"")</f>
        <v>6.975155279503106</v>
      </c>
      <c r="AC38" s="397">
        <v>226</v>
      </c>
      <c r="AD38" s="379">
        <f>IF(AC38&lt;&gt;0,-(AC38-Y38)/AC38,"")</f>
        <v>18.876106194690266</v>
      </c>
      <c r="AE38" s="380">
        <f>AG38-Y38</f>
        <v>-4175</v>
      </c>
      <c r="AF38" s="376">
        <f>AH38-Z38</f>
        <v>-599</v>
      </c>
      <c r="AG38" s="389">
        <v>317</v>
      </c>
      <c r="AH38" s="390">
        <v>45</v>
      </c>
      <c r="AI38" s="379">
        <f>Z38*1/AH38</f>
        <v>14.311111111111112</v>
      </c>
      <c r="AJ38" s="379">
        <f>AF38*1/AH38</f>
        <v>-13.311111111111112</v>
      </c>
      <c r="AK38" s="376">
        <f>AH38/Q38</f>
        <v>11.25</v>
      </c>
      <c r="AL38" s="377">
        <f>AG38/AH38</f>
        <v>7.044444444444444</v>
      </c>
      <c r="AM38" s="393">
        <v>317</v>
      </c>
      <c r="AN38" s="379">
        <f>IF(AM38&lt;&gt;0,-(AM38-AG38)/AM38,"")</f>
        <v>0</v>
      </c>
      <c r="AO38" s="389">
        <v>390833</v>
      </c>
      <c r="AP38" s="390">
        <v>40962</v>
      </c>
      <c r="AQ38" s="385">
        <f>AO38/AP38</f>
        <v>9.541355402568234</v>
      </c>
      <c r="AR38" s="386">
        <v>40928</v>
      </c>
      <c r="AS38" s="692" t="s">
        <v>357</v>
      </c>
      <c r="AT38" s="62"/>
    </row>
    <row r="39" spans="1:46" s="10" customFormat="1" ht="15" customHeight="1">
      <c r="A39" s="218">
        <v>29</v>
      </c>
      <c r="B39" s="719"/>
      <c r="C39" s="720" t="s">
        <v>261</v>
      </c>
      <c r="D39" s="710"/>
      <c r="E39" s="710"/>
      <c r="F39" s="710"/>
      <c r="G39" s="710"/>
      <c r="H39" s="726"/>
      <c r="I39" s="722" t="s">
        <v>54</v>
      </c>
      <c r="J39" s="248" t="s">
        <v>143</v>
      </c>
      <c r="K39" s="65" t="s">
        <v>127</v>
      </c>
      <c r="L39" s="69"/>
      <c r="M39" s="67" t="s">
        <v>143</v>
      </c>
      <c r="N39" s="716">
        <v>40893</v>
      </c>
      <c r="O39" s="68" t="s">
        <v>68</v>
      </c>
      <c r="P39" s="372">
        <v>23</v>
      </c>
      <c r="Q39" s="373">
        <v>7</v>
      </c>
      <c r="R39" s="373">
        <v>6</v>
      </c>
      <c r="S39" s="734">
        <v>1601</v>
      </c>
      <c r="T39" s="735">
        <v>394</v>
      </c>
      <c r="U39" s="734">
        <v>1139</v>
      </c>
      <c r="V39" s="735">
        <v>233</v>
      </c>
      <c r="W39" s="734">
        <v>1012</v>
      </c>
      <c r="X39" s="735">
        <v>205</v>
      </c>
      <c r="Y39" s="673">
        <f>SUM(S39+U39+W39)</f>
        <v>3752</v>
      </c>
      <c r="Z39" s="674">
        <f>T39+V39+X39</f>
        <v>832</v>
      </c>
      <c r="AA39" s="376">
        <f>IF(Y39&lt;&gt;0,Z39/Q39,"")</f>
        <v>118.85714285714286</v>
      </c>
      <c r="AB39" s="377">
        <f>IF(Y39&lt;&gt;0,Y39/Z39,"")</f>
        <v>4.509615384615385</v>
      </c>
      <c r="AC39" s="378">
        <v>3030</v>
      </c>
      <c r="AD39" s="379">
        <f>IF(AC39&lt;&gt;0,-(AC39-Y39)/AC39,"")</f>
        <v>0.2382838283828383</v>
      </c>
      <c r="AE39" s="380">
        <f>AG39-Y39</f>
        <v>2170</v>
      </c>
      <c r="AF39" s="376">
        <f>AH39-Z39</f>
        <v>59</v>
      </c>
      <c r="AG39" s="393">
        <v>5922</v>
      </c>
      <c r="AH39" s="398">
        <v>891</v>
      </c>
      <c r="AI39" s="379">
        <f>Z39*1/AH39</f>
        <v>0.9337822671156004</v>
      </c>
      <c r="AJ39" s="379">
        <f>AF39*1/AH39</f>
        <v>0.06621773288439955</v>
      </c>
      <c r="AK39" s="376">
        <f>AH39/Q39</f>
        <v>127.28571428571429</v>
      </c>
      <c r="AL39" s="377">
        <f>AG39/AH39</f>
        <v>6.646464646464646</v>
      </c>
      <c r="AM39" s="393">
        <v>8299</v>
      </c>
      <c r="AN39" s="379">
        <f>IF(AM39&lt;&gt;0,-(AM39-AG39)/AM39,"")</f>
        <v>-0.28642005060850706</v>
      </c>
      <c r="AO39" s="381">
        <v>120085</v>
      </c>
      <c r="AP39" s="398">
        <v>15628</v>
      </c>
      <c r="AQ39" s="385">
        <f>AO39/AP39</f>
        <v>7.683964678781674</v>
      </c>
      <c r="AR39" s="386">
        <v>40928</v>
      </c>
      <c r="AS39" s="693">
        <v>24</v>
      </c>
      <c r="AT39" s="62"/>
    </row>
    <row r="40" spans="1:45" s="10" customFormat="1" ht="15" customHeight="1">
      <c r="A40" s="218">
        <v>30</v>
      </c>
      <c r="B40" s="719"/>
      <c r="C40" s="720" t="s">
        <v>261</v>
      </c>
      <c r="D40" s="710"/>
      <c r="E40" s="710"/>
      <c r="F40" s="710"/>
      <c r="G40" s="710"/>
      <c r="H40" s="721"/>
      <c r="I40" s="732"/>
      <c r="J40" s="261" t="s">
        <v>117</v>
      </c>
      <c r="K40" s="65" t="s">
        <v>118</v>
      </c>
      <c r="L40" s="68" t="s">
        <v>95</v>
      </c>
      <c r="M40" s="68" t="s">
        <v>119</v>
      </c>
      <c r="N40" s="747">
        <v>40886</v>
      </c>
      <c r="O40" s="68" t="s">
        <v>10</v>
      </c>
      <c r="P40" s="372">
        <v>25</v>
      </c>
      <c r="Q40" s="394">
        <v>4</v>
      </c>
      <c r="R40" s="394">
        <v>7</v>
      </c>
      <c r="S40" s="717">
        <v>692</v>
      </c>
      <c r="T40" s="718">
        <v>86</v>
      </c>
      <c r="U40" s="717">
        <v>1135</v>
      </c>
      <c r="V40" s="718">
        <v>135</v>
      </c>
      <c r="W40" s="717">
        <v>1656</v>
      </c>
      <c r="X40" s="718">
        <v>203</v>
      </c>
      <c r="Y40" s="673">
        <f>SUM(S40+U40+W40)</f>
        <v>3483</v>
      </c>
      <c r="Z40" s="674">
        <f>T40+V40+X40</f>
        <v>424</v>
      </c>
      <c r="AA40" s="376">
        <f>IF(Y40&lt;&gt;0,Z40/Q40,"")</f>
        <v>106</v>
      </c>
      <c r="AB40" s="377">
        <f>IF(Y40&lt;&gt;0,Y40/Z40,"")</f>
        <v>8.214622641509434</v>
      </c>
      <c r="AC40" s="395">
        <v>1289</v>
      </c>
      <c r="AD40" s="379">
        <f>IF(AC40&lt;&gt;0,-(AC40-Y40)/AC40,"")</f>
        <v>1.7020946470131886</v>
      </c>
      <c r="AE40" s="380">
        <f>AG40-Y40</f>
        <v>-1103</v>
      </c>
      <c r="AF40" s="376">
        <f>AH40-Z40</f>
        <v>-139</v>
      </c>
      <c r="AG40" s="389">
        <v>2380</v>
      </c>
      <c r="AH40" s="390">
        <v>285</v>
      </c>
      <c r="AI40" s="379">
        <f>Z40*1/AH40</f>
        <v>1.487719298245614</v>
      </c>
      <c r="AJ40" s="379">
        <f>AF40*1/AH40</f>
        <v>-0.48771929824561405</v>
      </c>
      <c r="AK40" s="376">
        <f>AH40/Q40</f>
        <v>71.25</v>
      </c>
      <c r="AL40" s="377">
        <f>AG40/AH40</f>
        <v>8.350877192982455</v>
      </c>
      <c r="AM40" s="393">
        <v>3058</v>
      </c>
      <c r="AN40" s="379">
        <f>IF(AM40&lt;&gt;0,-(AM40-AG40)/AM40,"")</f>
        <v>-0.22171353826030085</v>
      </c>
      <c r="AO40" s="389">
        <v>419165</v>
      </c>
      <c r="AP40" s="390">
        <v>33843</v>
      </c>
      <c r="AQ40" s="385">
        <f>AO40/AP40</f>
        <v>12.385574564902639</v>
      </c>
      <c r="AR40" s="386">
        <v>40928</v>
      </c>
      <c r="AS40" s="693">
        <v>36</v>
      </c>
    </row>
    <row r="41" spans="1:45" s="10" customFormat="1" ht="15" customHeight="1">
      <c r="A41" s="218">
        <v>31</v>
      </c>
      <c r="B41" s="719"/>
      <c r="C41" s="720" t="s">
        <v>261</v>
      </c>
      <c r="D41" s="710"/>
      <c r="E41" s="710"/>
      <c r="F41" s="710"/>
      <c r="G41" s="710"/>
      <c r="H41" s="726"/>
      <c r="I41" s="722" t="s">
        <v>54</v>
      </c>
      <c r="J41" s="258" t="s">
        <v>106</v>
      </c>
      <c r="K41" s="65" t="s">
        <v>114</v>
      </c>
      <c r="L41" s="65"/>
      <c r="M41" s="65" t="s">
        <v>106</v>
      </c>
      <c r="N41" s="716">
        <v>40879</v>
      </c>
      <c r="O41" s="68" t="s">
        <v>8</v>
      </c>
      <c r="P41" s="372">
        <v>39</v>
      </c>
      <c r="Q41" s="388">
        <v>194</v>
      </c>
      <c r="R41" s="388">
        <v>8</v>
      </c>
      <c r="S41" s="724">
        <v>855</v>
      </c>
      <c r="T41" s="725">
        <v>113</v>
      </c>
      <c r="U41" s="724">
        <v>996</v>
      </c>
      <c r="V41" s="725">
        <v>128</v>
      </c>
      <c r="W41" s="724">
        <v>1153</v>
      </c>
      <c r="X41" s="725">
        <v>150</v>
      </c>
      <c r="Y41" s="673">
        <f>SUM(S41+U41+W41)</f>
        <v>3004</v>
      </c>
      <c r="Z41" s="674">
        <f>T41+V41+X41</f>
        <v>391</v>
      </c>
      <c r="AA41" s="376">
        <f>IF(Y41&lt;&gt;0,Z41/Q41,"")</f>
        <v>2.015463917525773</v>
      </c>
      <c r="AB41" s="377">
        <f>IF(Y41&lt;&gt;0,Y41/Z41,"")</f>
        <v>7.6828644501278776</v>
      </c>
      <c r="AC41" s="378">
        <v>2970</v>
      </c>
      <c r="AD41" s="379">
        <f>IF(AC41&lt;&gt;0,-(AC41-Y41)/AC41,"")</f>
        <v>0.011447811447811448</v>
      </c>
      <c r="AE41" s="380">
        <f>AG41-Y41</f>
        <v>1927</v>
      </c>
      <c r="AF41" s="376">
        <f>AH41-Z41</f>
        <v>456</v>
      </c>
      <c r="AG41" s="391">
        <v>4931</v>
      </c>
      <c r="AH41" s="392">
        <v>847</v>
      </c>
      <c r="AI41" s="379">
        <f>Z41*1/AH41</f>
        <v>0.46162927981109797</v>
      </c>
      <c r="AJ41" s="379">
        <f>AF41*1/AH41</f>
        <v>0.538370720188902</v>
      </c>
      <c r="AK41" s="376">
        <f>AH41/Q41</f>
        <v>4.365979381443299</v>
      </c>
      <c r="AL41" s="377">
        <f>AG41/AH41</f>
        <v>5.82172373081464</v>
      </c>
      <c r="AM41" s="381">
        <v>5509</v>
      </c>
      <c r="AN41" s="379">
        <f>IF(AM41&lt;&gt;0,-(AM41-AG41)/AM41,"")</f>
        <v>-0.10491922308948992</v>
      </c>
      <c r="AO41" s="391">
        <v>221303</v>
      </c>
      <c r="AP41" s="392">
        <v>24987</v>
      </c>
      <c r="AQ41" s="385">
        <f>AO41/AP41</f>
        <v>8.856725497258575</v>
      </c>
      <c r="AR41" s="386">
        <v>40928</v>
      </c>
      <c r="AS41" s="693">
        <v>25</v>
      </c>
    </row>
    <row r="42" spans="1:46" s="10" customFormat="1" ht="15" customHeight="1">
      <c r="A42" s="218">
        <v>32</v>
      </c>
      <c r="B42" s="719"/>
      <c r="C42" s="720" t="s">
        <v>261</v>
      </c>
      <c r="D42" s="710"/>
      <c r="E42" s="710"/>
      <c r="F42" s="710"/>
      <c r="G42" s="710"/>
      <c r="H42" s="726"/>
      <c r="I42" s="722" t="s">
        <v>54</v>
      </c>
      <c r="J42" s="258" t="s">
        <v>71</v>
      </c>
      <c r="K42" s="65" t="s">
        <v>82</v>
      </c>
      <c r="L42" s="65"/>
      <c r="M42" s="65" t="s">
        <v>71</v>
      </c>
      <c r="N42" s="723">
        <v>40858</v>
      </c>
      <c r="O42" s="68" t="s">
        <v>53</v>
      </c>
      <c r="P42" s="372">
        <v>130</v>
      </c>
      <c r="Q42" s="742">
        <v>3</v>
      </c>
      <c r="R42" s="742">
        <v>11</v>
      </c>
      <c r="S42" s="728">
        <v>936.5</v>
      </c>
      <c r="T42" s="727">
        <v>93</v>
      </c>
      <c r="U42" s="728">
        <v>1080</v>
      </c>
      <c r="V42" s="727">
        <v>102</v>
      </c>
      <c r="W42" s="728">
        <v>889.5</v>
      </c>
      <c r="X42" s="727">
        <v>87</v>
      </c>
      <c r="Y42" s="673">
        <f>SUM(S42+U42+W42)</f>
        <v>2906</v>
      </c>
      <c r="Z42" s="674">
        <f>T42+V42+X42</f>
        <v>282</v>
      </c>
      <c r="AA42" s="376">
        <f>IF(Y42&lt;&gt;0,Z42/Q42,"")</f>
        <v>94</v>
      </c>
      <c r="AB42" s="377">
        <f>IF(Y42&lt;&gt;0,Y42/Z42,"")</f>
        <v>10.304964539007091</v>
      </c>
      <c r="AC42" s="378">
        <v>462</v>
      </c>
      <c r="AD42" s="379">
        <f>IF(AC42&lt;&gt;0,-(AC42-Y42)/AC42,"")</f>
        <v>5.29004329004329</v>
      </c>
      <c r="AE42" s="380">
        <f>AG42-Y42</f>
        <v>-2153</v>
      </c>
      <c r="AF42" s="376">
        <f>AH42-Z42</f>
        <v>-171</v>
      </c>
      <c r="AG42" s="381">
        <v>753</v>
      </c>
      <c r="AH42" s="382">
        <v>111</v>
      </c>
      <c r="AI42" s="379">
        <f>Z42*1/AH42</f>
        <v>2.5405405405405403</v>
      </c>
      <c r="AJ42" s="379">
        <f>AF42*1/AH42</f>
        <v>-1.5405405405405406</v>
      </c>
      <c r="AK42" s="376">
        <f>AH42/Q42</f>
        <v>37</v>
      </c>
      <c r="AL42" s="377">
        <f>AG42/AH42</f>
        <v>6.783783783783784</v>
      </c>
      <c r="AM42" s="381">
        <v>1085</v>
      </c>
      <c r="AN42" s="379">
        <f>IF(AM42&lt;&gt;0,-(AM42-AG42)/AM42,"")</f>
        <v>-0.30599078341013825</v>
      </c>
      <c r="AO42" s="374">
        <v>1388464.5</v>
      </c>
      <c r="AP42" s="375">
        <v>146054</v>
      </c>
      <c r="AQ42" s="385">
        <f>AO42/AP42</f>
        <v>9.506514713736015</v>
      </c>
      <c r="AR42" s="386">
        <v>40928</v>
      </c>
      <c r="AS42" s="693">
        <v>51</v>
      </c>
      <c r="AT42" s="344"/>
    </row>
    <row r="43" spans="1:46" s="10" customFormat="1" ht="15" customHeight="1">
      <c r="A43" s="218">
        <v>33</v>
      </c>
      <c r="B43" s="748"/>
      <c r="C43" s="720" t="s">
        <v>261</v>
      </c>
      <c r="D43" s="736"/>
      <c r="E43" s="736"/>
      <c r="F43" s="710"/>
      <c r="G43" s="736"/>
      <c r="H43" s="721"/>
      <c r="I43" s="726"/>
      <c r="J43" s="258" t="s">
        <v>137</v>
      </c>
      <c r="K43" s="65" t="s">
        <v>140</v>
      </c>
      <c r="L43" s="65" t="s">
        <v>138</v>
      </c>
      <c r="M43" s="65" t="s">
        <v>139</v>
      </c>
      <c r="N43" s="716">
        <v>40893</v>
      </c>
      <c r="O43" s="68" t="s">
        <v>53</v>
      </c>
      <c r="P43" s="372">
        <v>28</v>
      </c>
      <c r="Q43" s="742">
        <v>4</v>
      </c>
      <c r="R43" s="742">
        <v>6</v>
      </c>
      <c r="S43" s="728">
        <v>791</v>
      </c>
      <c r="T43" s="727">
        <v>88</v>
      </c>
      <c r="U43" s="728">
        <v>1076</v>
      </c>
      <c r="V43" s="727">
        <v>114</v>
      </c>
      <c r="W43" s="728">
        <v>1013</v>
      </c>
      <c r="X43" s="727">
        <v>109</v>
      </c>
      <c r="Y43" s="673">
        <f>SUM(S43+U43+W43)</f>
        <v>2880</v>
      </c>
      <c r="Z43" s="674">
        <f>T43+V43+X43</f>
        <v>311</v>
      </c>
      <c r="AA43" s="376">
        <f>IF(Y43&lt;&gt;0,Z43/Q43,"")</f>
        <v>77.75</v>
      </c>
      <c r="AB43" s="377">
        <f>IF(Y43&lt;&gt;0,Y43/Z43,"")</f>
        <v>9.260450160771704</v>
      </c>
      <c r="AC43" s="378">
        <v>2872.5</v>
      </c>
      <c r="AD43" s="379">
        <f>IF(AC43&lt;&gt;0,-(AC43-Y43)/AC43,"")</f>
        <v>0.0026109660574412533</v>
      </c>
      <c r="AE43" s="380">
        <f>AG43-Y43</f>
        <v>1973.5</v>
      </c>
      <c r="AF43" s="376">
        <f>AH43-Z43</f>
        <v>264</v>
      </c>
      <c r="AG43" s="381">
        <v>4853.5</v>
      </c>
      <c r="AH43" s="382">
        <v>575</v>
      </c>
      <c r="AI43" s="379">
        <f>Z43*1/AH43</f>
        <v>0.5408695652173913</v>
      </c>
      <c r="AJ43" s="379">
        <f>AF43*1/AH43</f>
        <v>0.4591304347826087</v>
      </c>
      <c r="AK43" s="376">
        <f>AH43/Q43</f>
        <v>143.75</v>
      </c>
      <c r="AL43" s="377">
        <f>AG43/AH43</f>
        <v>8.440869565217392</v>
      </c>
      <c r="AM43" s="381">
        <v>5878</v>
      </c>
      <c r="AN43" s="379">
        <f>IF(AM43&lt;&gt;0,-(AM43-AG43)/AM43,"")</f>
        <v>-0.1742939775433821</v>
      </c>
      <c r="AO43" s="374">
        <v>263524</v>
      </c>
      <c r="AP43" s="375">
        <v>21967</v>
      </c>
      <c r="AQ43" s="385">
        <f>AO43/AP43</f>
        <v>11.996358173624072</v>
      </c>
      <c r="AR43" s="386">
        <v>40928</v>
      </c>
      <c r="AS43" s="693">
        <v>27</v>
      </c>
      <c r="AT43" s="344"/>
    </row>
    <row r="44" spans="1:46" s="10" customFormat="1" ht="15" customHeight="1">
      <c r="A44" s="218">
        <v>34</v>
      </c>
      <c r="B44" s="719"/>
      <c r="C44" s="720" t="s">
        <v>261</v>
      </c>
      <c r="D44" s="711" t="s">
        <v>223</v>
      </c>
      <c r="E44" s="712">
        <v>3</v>
      </c>
      <c r="F44" s="710"/>
      <c r="G44" s="736"/>
      <c r="H44" s="714" t="s">
        <v>55</v>
      </c>
      <c r="I44" s="726"/>
      <c r="J44" s="243" t="s">
        <v>220</v>
      </c>
      <c r="K44" s="70" t="s">
        <v>93</v>
      </c>
      <c r="L44" s="68" t="s">
        <v>95</v>
      </c>
      <c r="M44" s="70" t="s">
        <v>60</v>
      </c>
      <c r="N44" s="716">
        <v>40760</v>
      </c>
      <c r="O44" s="68" t="s">
        <v>10</v>
      </c>
      <c r="P44" s="410">
        <v>184</v>
      </c>
      <c r="Q44" s="394">
        <v>5</v>
      </c>
      <c r="R44" s="394">
        <v>25</v>
      </c>
      <c r="S44" s="717">
        <v>868</v>
      </c>
      <c r="T44" s="718">
        <v>171</v>
      </c>
      <c r="U44" s="717">
        <v>973</v>
      </c>
      <c r="V44" s="718">
        <v>201</v>
      </c>
      <c r="W44" s="717">
        <v>934</v>
      </c>
      <c r="X44" s="718">
        <v>197</v>
      </c>
      <c r="Y44" s="673">
        <f>SUM(S44+U44+W44)</f>
        <v>2775</v>
      </c>
      <c r="Z44" s="674">
        <f>T44+V44+X44</f>
        <v>569</v>
      </c>
      <c r="AA44" s="376">
        <f>IF(Y44&lt;&gt;0,Z44/Q44,"")</f>
        <v>113.8</v>
      </c>
      <c r="AB44" s="377">
        <f>IF(Y44&lt;&gt;0,Y44/Z44,"")</f>
        <v>4.8769771528998245</v>
      </c>
      <c r="AC44" s="378">
        <v>40</v>
      </c>
      <c r="AD44" s="379">
        <f>IF(AC44&lt;&gt;0,-(AC44-Y44)/AC44,"")</f>
        <v>68.375</v>
      </c>
      <c r="AE44" s="380">
        <f>AG44-Y44</f>
        <v>-2711</v>
      </c>
      <c r="AF44" s="376">
        <f>AH44-Z44</f>
        <v>-559</v>
      </c>
      <c r="AG44" s="389">
        <v>64</v>
      </c>
      <c r="AH44" s="390">
        <v>10</v>
      </c>
      <c r="AI44" s="379">
        <f>Z44*1/AH44</f>
        <v>56.9</v>
      </c>
      <c r="AJ44" s="379">
        <f>AF44*1/AH44</f>
        <v>-55.9</v>
      </c>
      <c r="AK44" s="376">
        <f>AH44/Q44</f>
        <v>2</v>
      </c>
      <c r="AL44" s="377">
        <f>AG44/AH44</f>
        <v>6.4</v>
      </c>
      <c r="AM44" s="393">
        <v>2676</v>
      </c>
      <c r="AN44" s="379">
        <f>IF(AM44&lt;&gt;0,-(AM44-AG44)/AM44,"")</f>
        <v>-0.976083707025411</v>
      </c>
      <c r="AO44" s="389">
        <v>11511825</v>
      </c>
      <c r="AP44" s="390">
        <v>1143676</v>
      </c>
      <c r="AQ44" s="385">
        <f>AO44/AP44</f>
        <v>10.065634847631673</v>
      </c>
      <c r="AR44" s="386">
        <v>40928</v>
      </c>
      <c r="AS44" s="693">
        <v>63</v>
      </c>
      <c r="AT44" s="344"/>
    </row>
    <row r="45" spans="1:46" s="10" customFormat="1" ht="15" customHeight="1">
      <c r="A45" s="218">
        <v>35</v>
      </c>
      <c r="B45" s="749"/>
      <c r="C45" s="720" t="s">
        <v>261</v>
      </c>
      <c r="D45" s="710"/>
      <c r="E45" s="710"/>
      <c r="F45" s="710"/>
      <c r="G45" s="710"/>
      <c r="H45" s="726"/>
      <c r="I45" s="722" t="s">
        <v>54</v>
      </c>
      <c r="J45" s="248" t="s">
        <v>115</v>
      </c>
      <c r="K45" s="65" t="s">
        <v>116</v>
      </c>
      <c r="L45" s="69"/>
      <c r="M45" s="67" t="s">
        <v>115</v>
      </c>
      <c r="N45" s="716">
        <v>40886</v>
      </c>
      <c r="O45" s="68" t="s">
        <v>12</v>
      </c>
      <c r="P45" s="372">
        <v>161</v>
      </c>
      <c r="Q45" s="373">
        <v>6</v>
      </c>
      <c r="R45" s="373">
        <v>7</v>
      </c>
      <c r="S45" s="374">
        <v>802</v>
      </c>
      <c r="T45" s="727">
        <v>125</v>
      </c>
      <c r="U45" s="728">
        <v>946</v>
      </c>
      <c r="V45" s="727">
        <v>150</v>
      </c>
      <c r="W45" s="728">
        <v>1010</v>
      </c>
      <c r="X45" s="727">
        <v>147</v>
      </c>
      <c r="Y45" s="673">
        <f>SUM(S45+U45+W45)</f>
        <v>2758</v>
      </c>
      <c r="Z45" s="674">
        <f>T45+V45+X45</f>
        <v>422</v>
      </c>
      <c r="AA45" s="376">
        <f>IF(Y45&lt;&gt;0,Z45/Q45,"")</f>
        <v>70.33333333333333</v>
      </c>
      <c r="AB45" s="377">
        <f>IF(Y45&lt;&gt;0,Y45/Z45,"")</f>
        <v>6.535545023696683</v>
      </c>
      <c r="AC45" s="378">
        <v>5625</v>
      </c>
      <c r="AD45" s="379">
        <f>IF(AC45&lt;&gt;0,-(AC45-Y45)/AC45,"")</f>
        <v>-0.5096888888888889</v>
      </c>
      <c r="AE45" s="380">
        <f>AG45-Y45</f>
        <v>7148</v>
      </c>
      <c r="AF45" s="376">
        <f>AH45-Z45</f>
        <v>1423</v>
      </c>
      <c r="AG45" s="381">
        <v>9906</v>
      </c>
      <c r="AH45" s="382">
        <v>1845</v>
      </c>
      <c r="AI45" s="379">
        <f>Z45*1/AH45</f>
        <v>0.22872628726287264</v>
      </c>
      <c r="AJ45" s="379">
        <f>AF45*1/AH45</f>
        <v>0.7712737127371274</v>
      </c>
      <c r="AK45" s="376">
        <f>AH45/Q45</f>
        <v>307.5</v>
      </c>
      <c r="AL45" s="377">
        <f>AG45/AH45</f>
        <v>5.369105691056911</v>
      </c>
      <c r="AM45" s="381">
        <v>11189</v>
      </c>
      <c r="AN45" s="379">
        <f>IF(AM45&lt;&gt;0,-(AM45-AG45)/AM45,"")</f>
        <v>-0.11466619000804361</v>
      </c>
      <c r="AO45" s="374">
        <v>876884</v>
      </c>
      <c r="AP45" s="375">
        <v>106835</v>
      </c>
      <c r="AQ45" s="385">
        <f>AO45/AP45</f>
        <v>8.207834511162073</v>
      </c>
      <c r="AR45" s="386">
        <v>40928</v>
      </c>
      <c r="AS45" s="693">
        <v>23</v>
      </c>
      <c r="AT45" s="62"/>
    </row>
    <row r="46" spans="1:46" s="10" customFormat="1" ht="15" customHeight="1">
      <c r="A46" s="218">
        <v>36</v>
      </c>
      <c r="B46" s="719"/>
      <c r="C46" s="720" t="s">
        <v>261</v>
      </c>
      <c r="D46" s="710"/>
      <c r="E46" s="710"/>
      <c r="F46" s="710"/>
      <c r="G46" s="710"/>
      <c r="H46" s="726"/>
      <c r="I46" s="722" t="s">
        <v>54</v>
      </c>
      <c r="J46" s="254" t="s">
        <v>148</v>
      </c>
      <c r="K46" s="68" t="s">
        <v>112</v>
      </c>
      <c r="L46" s="68"/>
      <c r="M46" s="68" t="s">
        <v>148</v>
      </c>
      <c r="N46" s="716">
        <v>40900</v>
      </c>
      <c r="O46" s="68" t="s">
        <v>52</v>
      </c>
      <c r="P46" s="406">
        <v>14</v>
      </c>
      <c r="Q46" s="394">
        <v>3</v>
      </c>
      <c r="R46" s="394">
        <v>5</v>
      </c>
      <c r="S46" s="717">
        <v>447</v>
      </c>
      <c r="T46" s="718">
        <v>65</v>
      </c>
      <c r="U46" s="717">
        <v>1136</v>
      </c>
      <c r="V46" s="718">
        <v>152</v>
      </c>
      <c r="W46" s="717">
        <v>1036</v>
      </c>
      <c r="X46" s="718">
        <v>139</v>
      </c>
      <c r="Y46" s="673">
        <f>SUM(S46+U46+W46)</f>
        <v>2619</v>
      </c>
      <c r="Z46" s="674">
        <f>T46+V46+X46</f>
        <v>356</v>
      </c>
      <c r="AA46" s="376">
        <f>IF(Y46&lt;&gt;0,Z46/Q46,"")</f>
        <v>118.66666666666667</v>
      </c>
      <c r="AB46" s="377">
        <f>IF(Y46&lt;&gt;0,Y46/Z46,"")</f>
        <v>7.356741573033708</v>
      </c>
      <c r="AC46" s="378">
        <v>589</v>
      </c>
      <c r="AD46" s="379">
        <f>IF(AC46&lt;&gt;0,-(AC46-Y46)/AC46,"")</f>
        <v>3.4465195246179965</v>
      </c>
      <c r="AE46" s="380">
        <f>AG46-Y46</f>
        <v>-1528</v>
      </c>
      <c r="AF46" s="376">
        <f>AH46-Z46</f>
        <v>-214</v>
      </c>
      <c r="AG46" s="399">
        <v>1091</v>
      </c>
      <c r="AH46" s="672">
        <v>142</v>
      </c>
      <c r="AI46" s="379">
        <f>Z46*1/AH46</f>
        <v>2.507042253521127</v>
      </c>
      <c r="AJ46" s="379">
        <f>AF46*1/AH46</f>
        <v>-1.5070422535211268</v>
      </c>
      <c r="AK46" s="376">
        <f>AH46/Q46</f>
        <v>47.333333333333336</v>
      </c>
      <c r="AL46" s="377">
        <f>AG46/AH46</f>
        <v>7.683098591549296</v>
      </c>
      <c r="AM46" s="381">
        <v>4777</v>
      </c>
      <c r="AN46" s="379">
        <f>IF(AM46&lt;&gt;0,-(AM46-AG46)/AM46,"")</f>
        <v>-0.7716139836717605</v>
      </c>
      <c r="AO46" s="733">
        <v>71794</v>
      </c>
      <c r="AP46" s="382">
        <v>6551</v>
      </c>
      <c r="AQ46" s="385">
        <f>AO46/AP46</f>
        <v>10.959242863684933</v>
      </c>
      <c r="AR46" s="386">
        <v>40928</v>
      </c>
      <c r="AS46" s="693">
        <v>46</v>
      </c>
      <c r="AT46" s="62"/>
    </row>
    <row r="47" spans="1:46" s="10" customFormat="1" ht="15" customHeight="1">
      <c r="A47" s="218">
        <v>37</v>
      </c>
      <c r="B47" s="719"/>
      <c r="C47" s="720" t="s">
        <v>261</v>
      </c>
      <c r="D47" s="743"/>
      <c r="E47" s="712">
        <v>3</v>
      </c>
      <c r="F47" s="743"/>
      <c r="G47" s="710"/>
      <c r="H47" s="715"/>
      <c r="I47" s="726"/>
      <c r="J47" s="258" t="s">
        <v>72</v>
      </c>
      <c r="K47" s="65" t="s">
        <v>83</v>
      </c>
      <c r="L47" s="65" t="s">
        <v>189</v>
      </c>
      <c r="M47" s="65" t="s">
        <v>182</v>
      </c>
      <c r="N47" s="716">
        <v>40858</v>
      </c>
      <c r="O47" s="68" t="s">
        <v>8</v>
      </c>
      <c r="P47" s="372">
        <v>132</v>
      </c>
      <c r="Q47" s="388">
        <v>7</v>
      </c>
      <c r="R47" s="388">
        <v>11</v>
      </c>
      <c r="S47" s="724">
        <v>689</v>
      </c>
      <c r="T47" s="725">
        <v>105</v>
      </c>
      <c r="U47" s="724">
        <v>758</v>
      </c>
      <c r="V47" s="725">
        <v>107</v>
      </c>
      <c r="W47" s="724">
        <v>1119</v>
      </c>
      <c r="X47" s="725">
        <v>151</v>
      </c>
      <c r="Y47" s="673">
        <f>SUM(S47+U47+W47)</f>
        <v>2566</v>
      </c>
      <c r="Z47" s="674">
        <f>T47+V47+X47</f>
        <v>363</v>
      </c>
      <c r="AA47" s="376">
        <f>IF(Y47&lt;&gt;0,Z47/Q47,"")</f>
        <v>51.857142857142854</v>
      </c>
      <c r="AB47" s="377">
        <f>IF(Y47&lt;&gt;0,Y47/Z47,"")</f>
        <v>7.068870523415978</v>
      </c>
      <c r="AC47" s="378">
        <v>2539</v>
      </c>
      <c r="AD47" s="379">
        <f>IF(AC47&lt;&gt;0,-(AC47-Y47)/AC47,"")</f>
        <v>0.01063410791650256</v>
      </c>
      <c r="AE47" s="380">
        <f>AG47-Y47</f>
        <v>2309</v>
      </c>
      <c r="AF47" s="376">
        <f>AH47-Z47</f>
        <v>531</v>
      </c>
      <c r="AG47" s="391">
        <v>4875</v>
      </c>
      <c r="AH47" s="392">
        <v>894</v>
      </c>
      <c r="AI47" s="379">
        <f>Z47*1/AH47</f>
        <v>0.40604026845637586</v>
      </c>
      <c r="AJ47" s="379">
        <f>AF47*1/AH47</f>
        <v>0.5939597315436241</v>
      </c>
      <c r="AK47" s="376">
        <f>AH47/Q47</f>
        <v>127.71428571428571</v>
      </c>
      <c r="AL47" s="377">
        <f>AG47/AH47</f>
        <v>5.453020134228188</v>
      </c>
      <c r="AM47" s="381">
        <v>6952</v>
      </c>
      <c r="AN47" s="379">
        <f>IF(AM47&lt;&gt;0,-(AM47-AG47)/AM47,"")</f>
        <v>-0.29876294591484465</v>
      </c>
      <c r="AO47" s="391">
        <v>6009275</v>
      </c>
      <c r="AP47" s="392">
        <v>540315</v>
      </c>
      <c r="AQ47" s="385">
        <f>AO47/AP47</f>
        <v>11.12179932076659</v>
      </c>
      <c r="AR47" s="386">
        <v>40928</v>
      </c>
      <c r="AS47" s="693">
        <v>26</v>
      </c>
      <c r="AT47" s="62"/>
    </row>
    <row r="48" spans="1:46" s="10" customFormat="1" ht="15" customHeight="1">
      <c r="A48" s="218">
        <v>38</v>
      </c>
      <c r="B48" s="719"/>
      <c r="C48" s="720" t="s">
        <v>261</v>
      </c>
      <c r="D48" s="736"/>
      <c r="E48" s="736"/>
      <c r="F48" s="710"/>
      <c r="G48" s="736"/>
      <c r="H48" s="726"/>
      <c r="I48" s="722" t="s">
        <v>54</v>
      </c>
      <c r="J48" s="261" t="s">
        <v>120</v>
      </c>
      <c r="K48" s="65" t="s">
        <v>122</v>
      </c>
      <c r="L48" s="68"/>
      <c r="M48" s="68" t="s">
        <v>120</v>
      </c>
      <c r="N48" s="716">
        <v>40886</v>
      </c>
      <c r="O48" s="68" t="s">
        <v>121</v>
      </c>
      <c r="P48" s="372">
        <v>82</v>
      </c>
      <c r="Q48" s="394">
        <v>5</v>
      </c>
      <c r="R48" s="394">
        <v>7</v>
      </c>
      <c r="S48" s="724">
        <v>600</v>
      </c>
      <c r="T48" s="725">
        <v>103</v>
      </c>
      <c r="U48" s="724">
        <v>587</v>
      </c>
      <c r="V48" s="725">
        <v>98</v>
      </c>
      <c r="W48" s="724">
        <v>769</v>
      </c>
      <c r="X48" s="725">
        <v>129</v>
      </c>
      <c r="Y48" s="673">
        <f>SUM(S48+U48+W48)</f>
        <v>1956</v>
      </c>
      <c r="Z48" s="674">
        <f>T48+V48+X48</f>
        <v>330</v>
      </c>
      <c r="AA48" s="376">
        <f>IF(Y48&lt;&gt;0,Z48/Q48,"")</f>
        <v>66</v>
      </c>
      <c r="AB48" s="377">
        <f>IF(Y48&lt;&gt;0,Y48/Z48,"")</f>
        <v>5.927272727272728</v>
      </c>
      <c r="AC48" s="395">
        <v>2219</v>
      </c>
      <c r="AD48" s="379">
        <f>IF(AC48&lt;&gt;0,-(AC48-Y48)/AC48,"")</f>
        <v>-0.11852185669220369</v>
      </c>
      <c r="AE48" s="380">
        <f>AG48-Y48</f>
        <v>2772</v>
      </c>
      <c r="AF48" s="376">
        <f>AH48-Z48</f>
        <v>428</v>
      </c>
      <c r="AG48" s="408">
        <v>4728</v>
      </c>
      <c r="AH48" s="409">
        <v>758</v>
      </c>
      <c r="AI48" s="379">
        <f>Z48*1/AH48</f>
        <v>0.43535620052770446</v>
      </c>
      <c r="AJ48" s="379">
        <f>AF48*1/AH48</f>
        <v>0.5646437994722955</v>
      </c>
      <c r="AK48" s="376">
        <f>AH48/Q48</f>
        <v>151.6</v>
      </c>
      <c r="AL48" s="377">
        <f>AG48/AH48</f>
        <v>6.237467018469657</v>
      </c>
      <c r="AM48" s="393">
        <v>8167.5</v>
      </c>
      <c r="AN48" s="379">
        <f>IF(AM48&lt;&gt;0,-(AM48-AG48)/AM48,"")</f>
        <v>-0.42112029384756655</v>
      </c>
      <c r="AO48" s="391">
        <v>644697.7</v>
      </c>
      <c r="AP48" s="392">
        <v>74326</v>
      </c>
      <c r="AQ48" s="385">
        <f>AO48/AP48</f>
        <v>8.673918951645453</v>
      </c>
      <c r="AR48" s="386">
        <v>40928</v>
      </c>
      <c r="AS48" s="693">
        <v>28</v>
      </c>
      <c r="AT48" s="62"/>
    </row>
    <row r="49" spans="1:46" s="10" customFormat="1" ht="15" customHeight="1">
      <c r="A49" s="218">
        <v>39</v>
      </c>
      <c r="B49" s="719"/>
      <c r="C49" s="720" t="s">
        <v>261</v>
      </c>
      <c r="D49" s="710"/>
      <c r="E49" s="710"/>
      <c r="F49" s="710"/>
      <c r="G49" s="713" t="s">
        <v>292</v>
      </c>
      <c r="H49" s="726"/>
      <c r="I49" s="726"/>
      <c r="J49" s="245" t="s">
        <v>65</v>
      </c>
      <c r="K49" s="72" t="s">
        <v>91</v>
      </c>
      <c r="L49" s="66" t="s">
        <v>94</v>
      </c>
      <c r="M49" s="72" t="s">
        <v>65</v>
      </c>
      <c r="N49" s="723">
        <v>40837</v>
      </c>
      <c r="O49" s="68" t="s">
        <v>12</v>
      </c>
      <c r="P49" s="372">
        <v>112</v>
      </c>
      <c r="Q49" s="373">
        <v>1</v>
      </c>
      <c r="R49" s="373">
        <v>14</v>
      </c>
      <c r="S49" s="374">
        <v>523</v>
      </c>
      <c r="T49" s="727">
        <v>74</v>
      </c>
      <c r="U49" s="728">
        <v>625</v>
      </c>
      <c r="V49" s="727">
        <v>88</v>
      </c>
      <c r="W49" s="728">
        <v>728</v>
      </c>
      <c r="X49" s="727">
        <v>102</v>
      </c>
      <c r="Y49" s="673">
        <f>SUM(S49+U49+W49)</f>
        <v>1876</v>
      </c>
      <c r="Z49" s="674">
        <f>T49+V49+X49</f>
        <v>264</v>
      </c>
      <c r="AA49" s="376">
        <f>IF(Y49&lt;&gt;0,Z49/Q49,"")</f>
        <v>264</v>
      </c>
      <c r="AB49" s="377">
        <f>IF(Y49&lt;&gt;0,Y49/Z49,"")</f>
        <v>7.106060606060606</v>
      </c>
      <c r="AC49" s="378">
        <v>677</v>
      </c>
      <c r="AD49" s="379">
        <f>IF(AC49&lt;&gt;0,-(AC49-Y49)/AC49,"")</f>
        <v>1.7710487444608567</v>
      </c>
      <c r="AE49" s="380">
        <f>AG49-Y49</f>
        <v>-873</v>
      </c>
      <c r="AF49" s="376">
        <f>AH49-Z49</f>
        <v>-99</v>
      </c>
      <c r="AG49" s="381">
        <v>1003</v>
      </c>
      <c r="AH49" s="382">
        <v>165</v>
      </c>
      <c r="AI49" s="379">
        <f>Z49*1/AH49</f>
        <v>1.6</v>
      </c>
      <c r="AJ49" s="379">
        <f>AF49*1/AH49</f>
        <v>-0.6</v>
      </c>
      <c r="AK49" s="376">
        <f>AH49/Q49</f>
        <v>165</v>
      </c>
      <c r="AL49" s="377">
        <f>AG49/AH49</f>
        <v>6.078787878787879</v>
      </c>
      <c r="AM49" s="381">
        <v>1003</v>
      </c>
      <c r="AN49" s="379">
        <f>IF(AM49&lt;&gt;0,-(AM49-AG49)/AM49,"")</f>
        <v>0</v>
      </c>
      <c r="AO49" s="374">
        <v>2339217</v>
      </c>
      <c r="AP49" s="375">
        <v>246081</v>
      </c>
      <c r="AQ49" s="385">
        <f>AO49/AP49</f>
        <v>9.505882209516379</v>
      </c>
      <c r="AR49" s="386">
        <v>40928</v>
      </c>
      <c r="AS49" s="692" t="s">
        <v>357</v>
      </c>
      <c r="AT49" s="62"/>
    </row>
    <row r="50" spans="1:46" s="10" customFormat="1" ht="15" customHeight="1">
      <c r="A50" s="218">
        <v>40</v>
      </c>
      <c r="B50" s="746"/>
      <c r="C50" s="720" t="s">
        <v>261</v>
      </c>
      <c r="D50" s="711" t="s">
        <v>223</v>
      </c>
      <c r="E50" s="741"/>
      <c r="F50" s="710"/>
      <c r="G50" s="741"/>
      <c r="H50" s="726"/>
      <c r="I50" s="726"/>
      <c r="J50" s="243" t="s">
        <v>339</v>
      </c>
      <c r="K50" s="70" t="s">
        <v>358</v>
      </c>
      <c r="L50" s="65" t="s">
        <v>138</v>
      </c>
      <c r="M50" s="70" t="s">
        <v>343</v>
      </c>
      <c r="N50" s="716">
        <v>39472</v>
      </c>
      <c r="O50" s="68" t="s">
        <v>53</v>
      </c>
      <c r="P50" s="402">
        <v>59</v>
      </c>
      <c r="Q50" s="742">
        <v>1</v>
      </c>
      <c r="R50" s="742">
        <v>42</v>
      </c>
      <c r="S50" s="728">
        <v>302</v>
      </c>
      <c r="T50" s="727">
        <v>60</v>
      </c>
      <c r="U50" s="728">
        <v>750</v>
      </c>
      <c r="V50" s="727">
        <v>150</v>
      </c>
      <c r="W50" s="728">
        <v>750</v>
      </c>
      <c r="X50" s="727">
        <v>150</v>
      </c>
      <c r="Y50" s="673">
        <f>SUM(S50+U50+W50)</f>
        <v>1802</v>
      </c>
      <c r="Z50" s="674">
        <f>T50+V50+X50</f>
        <v>360</v>
      </c>
      <c r="AA50" s="376">
        <f>IF(Y50&lt;&gt;0,Z50/Q50,"")</f>
        <v>360</v>
      </c>
      <c r="AB50" s="377">
        <f>IF(Y50&lt;&gt;0,Y50/Z50,"")</f>
        <v>5.0055555555555555</v>
      </c>
      <c r="AC50" s="378">
        <v>1201</v>
      </c>
      <c r="AD50" s="379">
        <f>IF(AC50&lt;&gt;0,-(AC50-Y50)/AC50,"")</f>
        <v>0.5004163197335554</v>
      </c>
      <c r="AE50" s="380">
        <f>AG50-Y50</f>
        <v>-601</v>
      </c>
      <c r="AF50" s="376">
        <f>AH50-Z50</f>
        <v>-120</v>
      </c>
      <c r="AG50" s="381">
        <v>1201</v>
      </c>
      <c r="AH50" s="382">
        <v>240</v>
      </c>
      <c r="AI50" s="379">
        <f>Z50*1/AH50</f>
        <v>1.5</v>
      </c>
      <c r="AJ50" s="379">
        <f>AF50*1/AH50</f>
        <v>-0.5</v>
      </c>
      <c r="AK50" s="376">
        <f>AH50/Q50</f>
        <v>240</v>
      </c>
      <c r="AL50" s="377">
        <f>AG50/AH50</f>
        <v>5.004166666666666</v>
      </c>
      <c r="AM50" s="381">
        <v>1201</v>
      </c>
      <c r="AN50" s="379">
        <f>IF(AM50&lt;&gt;0,-(AM50-AG50)/AM50,"")</f>
        <v>0</v>
      </c>
      <c r="AO50" s="381">
        <v>824023.5</v>
      </c>
      <c r="AP50" s="382">
        <v>108535</v>
      </c>
      <c r="AQ50" s="385">
        <f>AO50/AP50</f>
        <v>7.592237527065002</v>
      </c>
      <c r="AR50" s="386">
        <v>40928</v>
      </c>
      <c r="AS50" s="692" t="s">
        <v>357</v>
      </c>
      <c r="AT50" s="62"/>
    </row>
    <row r="51" spans="1:46" s="10" customFormat="1" ht="15" customHeight="1">
      <c r="A51" s="218">
        <v>41</v>
      </c>
      <c r="B51" s="746"/>
      <c r="C51" s="720" t="s">
        <v>261</v>
      </c>
      <c r="D51" s="711" t="s">
        <v>223</v>
      </c>
      <c r="E51" s="741"/>
      <c r="F51" s="710"/>
      <c r="G51" s="713" t="s">
        <v>292</v>
      </c>
      <c r="H51" s="714" t="s">
        <v>55</v>
      </c>
      <c r="I51" s="750"/>
      <c r="J51" s="243" t="s">
        <v>175</v>
      </c>
      <c r="K51" s="70" t="s">
        <v>187</v>
      </c>
      <c r="L51" s="70" t="s">
        <v>138</v>
      </c>
      <c r="M51" s="70" t="s">
        <v>178</v>
      </c>
      <c r="N51" s="716">
        <v>39682</v>
      </c>
      <c r="O51" s="68" t="s">
        <v>53</v>
      </c>
      <c r="P51" s="402">
        <v>60</v>
      </c>
      <c r="Q51" s="742">
        <v>1</v>
      </c>
      <c r="R51" s="742">
        <v>24</v>
      </c>
      <c r="S51" s="728">
        <v>302</v>
      </c>
      <c r="T51" s="727">
        <v>60</v>
      </c>
      <c r="U51" s="728">
        <v>750</v>
      </c>
      <c r="V51" s="727">
        <v>150</v>
      </c>
      <c r="W51" s="728">
        <v>750</v>
      </c>
      <c r="X51" s="727">
        <v>150</v>
      </c>
      <c r="Y51" s="673">
        <f>SUM(S51+U51+W51)</f>
        <v>1802</v>
      </c>
      <c r="Z51" s="674">
        <f>T51+V51+X51</f>
        <v>360</v>
      </c>
      <c r="AA51" s="376">
        <f>IF(Y51&lt;&gt;0,Z51/Q51,"")</f>
        <v>360</v>
      </c>
      <c r="AB51" s="377">
        <f>IF(Y51&lt;&gt;0,Y51/Z51,"")</f>
        <v>5.0055555555555555</v>
      </c>
      <c r="AC51" s="378">
        <v>1201</v>
      </c>
      <c r="AD51" s="379">
        <f>IF(AC51&lt;&gt;0,-(AC51-Y51)/AC51,"")</f>
        <v>0.5004163197335554</v>
      </c>
      <c r="AE51" s="380">
        <f>AG51-Y51</f>
        <v>-601</v>
      </c>
      <c r="AF51" s="376">
        <f>AH51-Z51</f>
        <v>-120</v>
      </c>
      <c r="AG51" s="381">
        <v>1201</v>
      </c>
      <c r="AH51" s="382">
        <v>240</v>
      </c>
      <c r="AI51" s="379">
        <f>Z51*1/AH51</f>
        <v>1.5</v>
      </c>
      <c r="AJ51" s="379">
        <f>AF51*1/AH51</f>
        <v>-0.5</v>
      </c>
      <c r="AK51" s="376">
        <f>AH51/Q51</f>
        <v>240</v>
      </c>
      <c r="AL51" s="377">
        <f>AG51/AH51</f>
        <v>5.004166666666666</v>
      </c>
      <c r="AM51" s="381">
        <v>1201</v>
      </c>
      <c r="AN51" s="379">
        <f>IF(AM51&lt;&gt;0,-(AM51-AG51)/AM51,"")</f>
        <v>0</v>
      </c>
      <c r="AO51" s="381">
        <v>210312.5</v>
      </c>
      <c r="AP51" s="382">
        <v>29623</v>
      </c>
      <c r="AQ51" s="385">
        <f>AO51/AP51</f>
        <v>7.099635418424873</v>
      </c>
      <c r="AR51" s="386">
        <v>40928</v>
      </c>
      <c r="AS51" s="692" t="s">
        <v>357</v>
      </c>
      <c r="AT51" s="62"/>
    </row>
    <row r="52" spans="1:46" s="10" customFormat="1" ht="15" customHeight="1">
      <c r="A52" s="218">
        <v>42</v>
      </c>
      <c r="B52" s="719"/>
      <c r="C52" s="720" t="s">
        <v>261</v>
      </c>
      <c r="D52" s="710"/>
      <c r="E52" s="710"/>
      <c r="F52" s="710"/>
      <c r="G52" s="710"/>
      <c r="H52" s="726"/>
      <c r="I52" s="726"/>
      <c r="J52" s="245" t="s">
        <v>108</v>
      </c>
      <c r="K52" s="65" t="s">
        <v>125</v>
      </c>
      <c r="L52" s="72" t="s">
        <v>124</v>
      </c>
      <c r="M52" s="72" t="s">
        <v>109</v>
      </c>
      <c r="N52" s="716">
        <v>40879</v>
      </c>
      <c r="O52" s="68" t="s">
        <v>12</v>
      </c>
      <c r="P52" s="372">
        <v>38</v>
      </c>
      <c r="Q52" s="373">
        <v>3</v>
      </c>
      <c r="R52" s="373">
        <v>8</v>
      </c>
      <c r="S52" s="374">
        <v>188</v>
      </c>
      <c r="T52" s="727">
        <v>30</v>
      </c>
      <c r="U52" s="728">
        <v>512</v>
      </c>
      <c r="V52" s="727">
        <v>82</v>
      </c>
      <c r="W52" s="728">
        <v>497</v>
      </c>
      <c r="X52" s="727">
        <v>75</v>
      </c>
      <c r="Y52" s="673">
        <f>SUM(S52+U52+W52)</f>
        <v>1197</v>
      </c>
      <c r="Z52" s="674">
        <f>T52+V52+X52</f>
        <v>187</v>
      </c>
      <c r="AA52" s="376">
        <f>IF(Y52&lt;&gt;0,Z52/Q52,"")</f>
        <v>62.333333333333336</v>
      </c>
      <c r="AB52" s="377">
        <f>IF(Y52&lt;&gt;0,Y52/Z52,"")</f>
        <v>6.401069518716578</v>
      </c>
      <c r="AC52" s="378">
        <v>1482</v>
      </c>
      <c r="AD52" s="379">
        <f>IF(AC52&lt;&gt;0,-(AC52-Y52)/AC52,"")</f>
        <v>-0.19230769230769232</v>
      </c>
      <c r="AE52" s="380">
        <f>AG52-Y52</f>
        <v>1922</v>
      </c>
      <c r="AF52" s="376">
        <f>AH52-Z52</f>
        <v>315</v>
      </c>
      <c r="AG52" s="381">
        <v>3119</v>
      </c>
      <c r="AH52" s="382">
        <v>502</v>
      </c>
      <c r="AI52" s="379">
        <f>Z52*1/AH52</f>
        <v>0.37250996015936255</v>
      </c>
      <c r="AJ52" s="379">
        <f>AF52*1/AH52</f>
        <v>0.6274900398406374</v>
      </c>
      <c r="AK52" s="376">
        <f>AH52/Q52</f>
        <v>167.33333333333334</v>
      </c>
      <c r="AL52" s="377">
        <f>AG52/AH52</f>
        <v>6.213147410358566</v>
      </c>
      <c r="AM52" s="381">
        <v>10036</v>
      </c>
      <c r="AN52" s="379">
        <f>IF(AM52&lt;&gt;0,-(AM52-AG52)/AM52,"")</f>
        <v>-0.6892188122758071</v>
      </c>
      <c r="AO52" s="374">
        <v>492214</v>
      </c>
      <c r="AP52" s="375">
        <v>46490</v>
      </c>
      <c r="AQ52" s="385">
        <f>AO52/AP52</f>
        <v>10.58752419875242</v>
      </c>
      <c r="AR52" s="386">
        <v>40928</v>
      </c>
      <c r="AS52" s="693">
        <v>34</v>
      </c>
      <c r="AT52" s="62"/>
    </row>
    <row r="53" spans="1:46" s="10" customFormat="1" ht="15" customHeight="1">
      <c r="A53" s="218">
        <v>43</v>
      </c>
      <c r="B53" s="746"/>
      <c r="C53" s="720" t="s">
        <v>261</v>
      </c>
      <c r="D53" s="741"/>
      <c r="E53" s="741"/>
      <c r="F53" s="743"/>
      <c r="G53" s="713" t="s">
        <v>292</v>
      </c>
      <c r="H53" s="715"/>
      <c r="I53" s="751"/>
      <c r="J53" s="248" t="s">
        <v>86</v>
      </c>
      <c r="K53" s="65" t="s">
        <v>90</v>
      </c>
      <c r="L53" s="70" t="s">
        <v>85</v>
      </c>
      <c r="M53" s="70" t="s">
        <v>84</v>
      </c>
      <c r="N53" s="716">
        <v>40865</v>
      </c>
      <c r="O53" s="68" t="s">
        <v>68</v>
      </c>
      <c r="P53" s="387">
        <v>269</v>
      </c>
      <c r="Q53" s="373">
        <v>6</v>
      </c>
      <c r="R53" s="373">
        <v>10</v>
      </c>
      <c r="S53" s="734">
        <v>332</v>
      </c>
      <c r="T53" s="735">
        <v>48</v>
      </c>
      <c r="U53" s="734">
        <v>389</v>
      </c>
      <c r="V53" s="735">
        <v>55</v>
      </c>
      <c r="W53" s="734">
        <v>413</v>
      </c>
      <c r="X53" s="735">
        <v>56</v>
      </c>
      <c r="Y53" s="673">
        <f>SUM(S53+U53+W53)</f>
        <v>1134</v>
      </c>
      <c r="Z53" s="674">
        <f>T53+V53+X53</f>
        <v>159</v>
      </c>
      <c r="AA53" s="376">
        <f>IF(Y53&lt;&gt;0,Z53/Q53,"")</f>
        <v>26.5</v>
      </c>
      <c r="AB53" s="377">
        <f>IF(Y53&lt;&gt;0,Y53/Z53,"")</f>
        <v>7.132075471698113</v>
      </c>
      <c r="AC53" s="381">
        <v>2860</v>
      </c>
      <c r="AD53" s="379">
        <f>IF(AC53&lt;&gt;0,-(AC53-Y53)/AC53,"")</f>
        <v>-0.6034965034965035</v>
      </c>
      <c r="AE53" s="380">
        <f>AG53-Y53</f>
        <v>3266</v>
      </c>
      <c r="AF53" s="376">
        <f>AH53-Z53</f>
        <v>495</v>
      </c>
      <c r="AG53" s="393">
        <v>4400</v>
      </c>
      <c r="AH53" s="398">
        <v>654</v>
      </c>
      <c r="AI53" s="379">
        <f>Z53*1/AH53</f>
        <v>0.24311926605504589</v>
      </c>
      <c r="AJ53" s="379">
        <f>AF53*1/AH53</f>
        <v>0.7568807339449541</v>
      </c>
      <c r="AK53" s="376">
        <f>AH53/Q53</f>
        <v>109</v>
      </c>
      <c r="AL53" s="377">
        <f>AG53/AH53</f>
        <v>6.72782874617737</v>
      </c>
      <c r="AM53" s="393">
        <v>9558</v>
      </c>
      <c r="AN53" s="379">
        <f>IF(AM53&lt;&gt;0,-(AM53-AG53)/AM53,"")</f>
        <v>-0.5396526469972798</v>
      </c>
      <c r="AO53" s="381">
        <v>12201160.5</v>
      </c>
      <c r="AP53" s="398">
        <v>1378077</v>
      </c>
      <c r="AQ53" s="385">
        <f>AO53/AP53</f>
        <v>8.853758171713192</v>
      </c>
      <c r="AR53" s="386">
        <v>40928</v>
      </c>
      <c r="AS53" s="693">
        <v>29</v>
      </c>
      <c r="AT53" s="341"/>
    </row>
    <row r="54" spans="1:46" s="10" customFormat="1" ht="15" customHeight="1">
      <c r="A54" s="218">
        <v>44</v>
      </c>
      <c r="B54" s="719"/>
      <c r="C54" s="720" t="s">
        <v>261</v>
      </c>
      <c r="D54" s="710"/>
      <c r="E54" s="710"/>
      <c r="F54" s="710"/>
      <c r="G54" s="710"/>
      <c r="H54" s="726"/>
      <c r="I54" s="726"/>
      <c r="J54" s="248" t="s">
        <v>271</v>
      </c>
      <c r="K54" s="65" t="s">
        <v>290</v>
      </c>
      <c r="L54" s="69" t="s">
        <v>79</v>
      </c>
      <c r="M54" s="67" t="s">
        <v>287</v>
      </c>
      <c r="N54" s="716">
        <v>40823</v>
      </c>
      <c r="O54" s="68" t="s">
        <v>68</v>
      </c>
      <c r="P54" s="372">
        <v>10</v>
      </c>
      <c r="Q54" s="373">
        <v>2</v>
      </c>
      <c r="R54" s="373">
        <v>13</v>
      </c>
      <c r="S54" s="734">
        <v>406</v>
      </c>
      <c r="T54" s="735">
        <v>62</v>
      </c>
      <c r="U54" s="734">
        <v>343</v>
      </c>
      <c r="V54" s="735">
        <v>47</v>
      </c>
      <c r="W54" s="734">
        <v>350</v>
      </c>
      <c r="X54" s="735">
        <v>49</v>
      </c>
      <c r="Y54" s="673">
        <f>SUM(S54+U54+W54)</f>
        <v>1099</v>
      </c>
      <c r="Z54" s="674">
        <f>T54+V54+X54</f>
        <v>158</v>
      </c>
      <c r="AA54" s="376">
        <f>IF(Y54&lt;&gt;0,Z54/Q54,"")</f>
        <v>79</v>
      </c>
      <c r="AB54" s="377">
        <f>IF(Y54&lt;&gt;0,Y54/Z54,"")</f>
        <v>6.955696202531645</v>
      </c>
      <c r="AC54" s="378">
        <v>1573</v>
      </c>
      <c r="AD54" s="379">
        <f>IF(AC54&lt;&gt;0,-(AC54-Y54)/AC54,"")</f>
        <v>-0.3013350286077559</v>
      </c>
      <c r="AE54" s="380">
        <f>AG54-Y54</f>
        <v>2685</v>
      </c>
      <c r="AF54" s="376">
        <f>AH54-Z54</f>
        <v>454</v>
      </c>
      <c r="AG54" s="393">
        <v>3784</v>
      </c>
      <c r="AH54" s="398">
        <v>612</v>
      </c>
      <c r="AI54" s="379">
        <f>Z54*1/AH54</f>
        <v>0.2581699346405229</v>
      </c>
      <c r="AJ54" s="379">
        <f>AF54*1/AH54</f>
        <v>0.7418300653594772</v>
      </c>
      <c r="AK54" s="376">
        <f>AH54/Q54</f>
        <v>306</v>
      </c>
      <c r="AL54" s="377">
        <f>AG54/AH54</f>
        <v>6.183006535947713</v>
      </c>
      <c r="AM54" s="393">
        <v>806</v>
      </c>
      <c r="AN54" s="379">
        <f>IF(AM54&lt;&gt;0,-(AM54-AG54)/AM54,"")</f>
        <v>3.694789081885856</v>
      </c>
      <c r="AO54" s="381">
        <v>82686.5</v>
      </c>
      <c r="AP54" s="398">
        <v>10204</v>
      </c>
      <c r="AQ54" s="385">
        <f>AO54/AP54</f>
        <v>8.103341826734614</v>
      </c>
      <c r="AR54" s="386">
        <v>40928</v>
      </c>
      <c r="AS54" s="693">
        <v>31</v>
      </c>
      <c r="AT54" s="62"/>
    </row>
    <row r="55" spans="1:46" s="10" customFormat="1" ht="15" customHeight="1">
      <c r="A55" s="218">
        <v>45</v>
      </c>
      <c r="B55" s="719"/>
      <c r="C55" s="720" t="s">
        <v>261</v>
      </c>
      <c r="D55" s="710"/>
      <c r="E55" s="710"/>
      <c r="F55" s="710"/>
      <c r="G55" s="710"/>
      <c r="H55" s="726"/>
      <c r="I55" s="715"/>
      <c r="J55" s="248" t="s">
        <v>100</v>
      </c>
      <c r="K55" s="65" t="s">
        <v>102</v>
      </c>
      <c r="L55" s="69" t="s">
        <v>79</v>
      </c>
      <c r="M55" s="67" t="s">
        <v>101</v>
      </c>
      <c r="N55" s="716">
        <v>40872</v>
      </c>
      <c r="O55" s="68" t="s">
        <v>68</v>
      </c>
      <c r="P55" s="372">
        <v>20</v>
      </c>
      <c r="Q55" s="373">
        <v>3</v>
      </c>
      <c r="R55" s="373">
        <v>9</v>
      </c>
      <c r="S55" s="734">
        <v>377</v>
      </c>
      <c r="T55" s="735">
        <v>61</v>
      </c>
      <c r="U55" s="734">
        <v>298</v>
      </c>
      <c r="V55" s="735">
        <v>50</v>
      </c>
      <c r="W55" s="734">
        <v>320</v>
      </c>
      <c r="X55" s="735">
        <v>55</v>
      </c>
      <c r="Y55" s="673">
        <f>SUM(S55+U55+W55)</f>
        <v>995</v>
      </c>
      <c r="Z55" s="674">
        <f>T55+V55+X55</f>
        <v>166</v>
      </c>
      <c r="AA55" s="376">
        <f>IF(Y55&lt;&gt;0,Z55/Q55,"")</f>
        <v>55.333333333333336</v>
      </c>
      <c r="AB55" s="377">
        <f>IF(Y55&lt;&gt;0,Y55/Z55,"")</f>
        <v>5.993975903614458</v>
      </c>
      <c r="AC55" s="378">
        <v>1468</v>
      </c>
      <c r="AD55" s="379">
        <f>IF(AC55&lt;&gt;0,-(AC55-Y55)/AC55,"")</f>
        <v>-0.32220708446866486</v>
      </c>
      <c r="AE55" s="380">
        <f>AG55-Y55</f>
        <v>1550</v>
      </c>
      <c r="AF55" s="376">
        <f>AH55-Z55</f>
        <v>240</v>
      </c>
      <c r="AG55" s="393">
        <v>2545</v>
      </c>
      <c r="AH55" s="398">
        <v>406</v>
      </c>
      <c r="AI55" s="379">
        <f>Z55*1/AH55</f>
        <v>0.4088669950738916</v>
      </c>
      <c r="AJ55" s="379">
        <f>AF55*1/AH55</f>
        <v>0.5911330049261084</v>
      </c>
      <c r="AK55" s="376">
        <f>AH55/Q55</f>
        <v>135.33333333333334</v>
      </c>
      <c r="AL55" s="377">
        <f>AG55/AH55</f>
        <v>6.268472906403941</v>
      </c>
      <c r="AM55" s="393">
        <v>385</v>
      </c>
      <c r="AN55" s="379">
        <f>IF(AM55&lt;&gt;0,-(AM55-AG55)/AM55,"")</f>
        <v>5.6103896103896105</v>
      </c>
      <c r="AO55" s="381">
        <v>394981</v>
      </c>
      <c r="AP55" s="398">
        <v>32350</v>
      </c>
      <c r="AQ55" s="385">
        <f>AO55/AP55</f>
        <v>12.209613601236477</v>
      </c>
      <c r="AR55" s="386">
        <v>40928</v>
      </c>
      <c r="AS55" s="693">
        <v>35</v>
      </c>
      <c r="AT55" s="62"/>
    </row>
    <row r="56" spans="1:46" s="10" customFormat="1" ht="15" customHeight="1">
      <c r="A56" s="218">
        <v>46</v>
      </c>
      <c r="B56" s="719"/>
      <c r="C56" s="720" t="s">
        <v>261</v>
      </c>
      <c r="D56" s="711" t="s">
        <v>223</v>
      </c>
      <c r="E56" s="743"/>
      <c r="F56" s="710"/>
      <c r="G56" s="713" t="s">
        <v>292</v>
      </c>
      <c r="H56" s="714" t="s">
        <v>55</v>
      </c>
      <c r="I56" s="726"/>
      <c r="J56" s="262" t="s">
        <v>49</v>
      </c>
      <c r="K56" s="66" t="s">
        <v>92</v>
      </c>
      <c r="L56" s="66" t="s">
        <v>94</v>
      </c>
      <c r="M56" s="69" t="s">
        <v>59</v>
      </c>
      <c r="N56" s="716">
        <v>40774</v>
      </c>
      <c r="O56" s="68" t="s">
        <v>12</v>
      </c>
      <c r="P56" s="372">
        <v>123</v>
      </c>
      <c r="Q56" s="373">
        <v>1</v>
      </c>
      <c r="R56" s="373">
        <v>23</v>
      </c>
      <c r="S56" s="374">
        <v>171</v>
      </c>
      <c r="T56" s="727">
        <v>27</v>
      </c>
      <c r="U56" s="728">
        <v>171</v>
      </c>
      <c r="V56" s="727">
        <v>27</v>
      </c>
      <c r="W56" s="728">
        <v>171</v>
      </c>
      <c r="X56" s="727">
        <v>27</v>
      </c>
      <c r="Y56" s="673">
        <f>SUM(S56+U56+W56)</f>
        <v>513</v>
      </c>
      <c r="Z56" s="674">
        <f>T56+V56+X56</f>
        <v>81</v>
      </c>
      <c r="AA56" s="376">
        <f>IF(Y56&lt;&gt;0,Z56/Q56,"")</f>
        <v>81</v>
      </c>
      <c r="AB56" s="377">
        <f>IF(Y56&lt;&gt;0,Y56/Z56,"")</f>
        <v>6.333333333333333</v>
      </c>
      <c r="AC56" s="378">
        <v>175</v>
      </c>
      <c r="AD56" s="379">
        <f>IF(AC56&lt;&gt;0,-(AC56-Y56)/AC56,"")</f>
        <v>1.9314285714285715</v>
      </c>
      <c r="AE56" s="380">
        <f>AG56-Y56</f>
        <v>51</v>
      </c>
      <c r="AF56" s="376">
        <f>AH56-Z56</f>
        <v>36</v>
      </c>
      <c r="AG56" s="381">
        <v>564</v>
      </c>
      <c r="AH56" s="382">
        <v>117</v>
      </c>
      <c r="AI56" s="379">
        <f>Z56*1/AH56</f>
        <v>0.6923076923076923</v>
      </c>
      <c r="AJ56" s="379">
        <f>AF56*1/AH56</f>
        <v>0.3076923076923077</v>
      </c>
      <c r="AK56" s="376">
        <f>AH56/Q56</f>
        <v>117</v>
      </c>
      <c r="AL56" s="377">
        <f>AG56/AH56</f>
        <v>4.82051282051282</v>
      </c>
      <c r="AM56" s="381">
        <v>784</v>
      </c>
      <c r="AN56" s="379">
        <f>IF(AM56&lt;&gt;0,-(AM56-AG56)/AM56,"")</f>
        <v>-0.28061224489795916</v>
      </c>
      <c r="AO56" s="374">
        <v>7026547</v>
      </c>
      <c r="AP56" s="375">
        <v>688523</v>
      </c>
      <c r="AQ56" s="385">
        <f>AO56/AP56</f>
        <v>10.205246593069512</v>
      </c>
      <c r="AR56" s="386">
        <v>40928</v>
      </c>
      <c r="AS56" s="693">
        <v>56</v>
      </c>
      <c r="AT56" s="62"/>
    </row>
    <row r="57" spans="1:46" s="10" customFormat="1" ht="15" customHeight="1">
      <c r="A57" s="218">
        <v>47</v>
      </c>
      <c r="B57" s="719"/>
      <c r="C57" s="720"/>
      <c r="D57" s="710"/>
      <c r="E57" s="710"/>
      <c r="F57" s="710"/>
      <c r="G57" s="710"/>
      <c r="H57" s="710"/>
      <c r="I57" s="726"/>
      <c r="J57" s="262" t="s">
        <v>446</v>
      </c>
      <c r="K57" s="66" t="s">
        <v>91</v>
      </c>
      <c r="L57" s="66" t="s">
        <v>94</v>
      </c>
      <c r="M57" s="69" t="s">
        <v>450</v>
      </c>
      <c r="N57" s="716">
        <v>40723</v>
      </c>
      <c r="O57" s="68" t="s">
        <v>12</v>
      </c>
      <c r="P57" s="731">
        <v>323</v>
      </c>
      <c r="Q57" s="373">
        <v>1</v>
      </c>
      <c r="R57" s="373">
        <v>30</v>
      </c>
      <c r="S57" s="374">
        <v>171</v>
      </c>
      <c r="T57" s="727">
        <v>27</v>
      </c>
      <c r="U57" s="728">
        <v>171</v>
      </c>
      <c r="V57" s="727">
        <v>27</v>
      </c>
      <c r="W57" s="728">
        <v>171</v>
      </c>
      <c r="X57" s="727">
        <v>27</v>
      </c>
      <c r="Y57" s="673">
        <f>SUM(S57+U57+W57)</f>
        <v>513</v>
      </c>
      <c r="Z57" s="674">
        <f>T57+V57+X57</f>
        <v>81</v>
      </c>
      <c r="AA57" s="376">
        <f>IF(Y57&lt;&gt;0,Z57/Q57,"")</f>
        <v>81</v>
      </c>
      <c r="AB57" s="377">
        <f>IF(Y57&lt;&gt;0,Y57/Z57,"")</f>
        <v>6.333333333333333</v>
      </c>
      <c r="AC57" s="378"/>
      <c r="AD57" s="379">
        <f>IF(AC57&lt;&gt;0,-(AC57-Y57)/AC57,"")</f>
      </c>
      <c r="AE57" s="380"/>
      <c r="AF57" s="376"/>
      <c r="AG57" s="381"/>
      <c r="AH57" s="382"/>
      <c r="AI57" s="379"/>
      <c r="AJ57" s="379"/>
      <c r="AK57" s="376"/>
      <c r="AL57" s="377"/>
      <c r="AM57" s="381"/>
      <c r="AN57" s="379"/>
      <c r="AO57" s="374">
        <v>6858574</v>
      </c>
      <c r="AP57" s="375">
        <v>646432</v>
      </c>
      <c r="AQ57" s="385">
        <f>AO57/AP57</f>
        <v>10.609892455819018</v>
      </c>
      <c r="AR57" s="386">
        <v>40928</v>
      </c>
      <c r="AS57" s="693"/>
      <c r="AT57" s="62"/>
    </row>
    <row r="58" spans="1:46" s="10" customFormat="1" ht="15" customHeight="1">
      <c r="A58" s="218">
        <v>48</v>
      </c>
      <c r="B58" s="719"/>
      <c r="C58" s="720" t="s">
        <v>261</v>
      </c>
      <c r="D58" s="711" t="s">
        <v>223</v>
      </c>
      <c r="E58" s="710"/>
      <c r="F58" s="710"/>
      <c r="G58" s="713" t="s">
        <v>292</v>
      </c>
      <c r="H58" s="714" t="s">
        <v>55</v>
      </c>
      <c r="I58" s="726"/>
      <c r="J58" s="245" t="s">
        <v>103</v>
      </c>
      <c r="K58" s="65" t="s">
        <v>91</v>
      </c>
      <c r="L58" s="72" t="s">
        <v>94</v>
      </c>
      <c r="M58" s="72" t="s">
        <v>103</v>
      </c>
      <c r="N58" s="716">
        <v>40704</v>
      </c>
      <c r="O58" s="68" t="s">
        <v>12</v>
      </c>
      <c r="P58" s="372">
        <v>144</v>
      </c>
      <c r="Q58" s="373">
        <v>1</v>
      </c>
      <c r="R58" s="373">
        <v>33</v>
      </c>
      <c r="S58" s="374">
        <v>171</v>
      </c>
      <c r="T58" s="727">
        <v>27</v>
      </c>
      <c r="U58" s="728">
        <v>171</v>
      </c>
      <c r="V58" s="727">
        <v>27</v>
      </c>
      <c r="W58" s="728">
        <v>171</v>
      </c>
      <c r="X58" s="727">
        <v>27</v>
      </c>
      <c r="Y58" s="673">
        <f>SUM(S58+U58+W58)</f>
        <v>513</v>
      </c>
      <c r="Z58" s="674">
        <f>T58+V58+X58</f>
        <v>81</v>
      </c>
      <c r="AA58" s="376">
        <f>IF(Y58&lt;&gt;0,Z58/Q58,"")</f>
        <v>81</v>
      </c>
      <c r="AB58" s="377">
        <f>IF(Y58&lt;&gt;0,Y58/Z58,"")</f>
        <v>6.333333333333333</v>
      </c>
      <c r="AC58" s="378">
        <v>513</v>
      </c>
      <c r="AD58" s="379">
        <f>IF(AC58&lt;&gt;0,-(AC58-Y58)/AC58,"")</f>
        <v>0</v>
      </c>
      <c r="AE58" s="380">
        <f>AG58-Y58</f>
        <v>684</v>
      </c>
      <c r="AF58" s="376">
        <f>AH58-Z58</f>
        <v>108</v>
      </c>
      <c r="AG58" s="381">
        <v>1197</v>
      </c>
      <c r="AH58" s="382">
        <v>189</v>
      </c>
      <c r="AI58" s="379">
        <f>Z58*1/AH58</f>
        <v>0.42857142857142855</v>
      </c>
      <c r="AJ58" s="379">
        <f>AF58*1/AH58</f>
        <v>0.5714285714285714</v>
      </c>
      <c r="AK58" s="376">
        <f>AH58/Q58</f>
        <v>189</v>
      </c>
      <c r="AL58" s="377">
        <f>AG58/AH58</f>
        <v>6.333333333333333</v>
      </c>
      <c r="AM58" s="381">
        <v>1197</v>
      </c>
      <c r="AN58" s="379">
        <f>IF(AM58&lt;&gt;0,-(AM58-AG58)/AM58,"")</f>
        <v>0</v>
      </c>
      <c r="AO58" s="374">
        <v>3761313</v>
      </c>
      <c r="AP58" s="375">
        <v>344842</v>
      </c>
      <c r="AQ58" s="385">
        <f>AO58/AP58</f>
        <v>10.907351772695902</v>
      </c>
      <c r="AR58" s="386">
        <v>40928</v>
      </c>
      <c r="AS58" s="692" t="s">
        <v>357</v>
      </c>
      <c r="AT58" s="62"/>
    </row>
    <row r="59" spans="1:46" s="10" customFormat="1" ht="15" customHeight="1">
      <c r="A59" s="218">
        <v>49</v>
      </c>
      <c r="B59" s="719"/>
      <c r="C59" s="720" t="s">
        <v>261</v>
      </c>
      <c r="D59" s="710"/>
      <c r="E59" s="710"/>
      <c r="F59" s="710"/>
      <c r="G59" s="710"/>
      <c r="H59" s="726"/>
      <c r="I59" s="752"/>
      <c r="J59" s="254" t="s">
        <v>168</v>
      </c>
      <c r="K59" s="65" t="s">
        <v>171</v>
      </c>
      <c r="L59" s="71" t="s">
        <v>99</v>
      </c>
      <c r="M59" s="69" t="s">
        <v>172</v>
      </c>
      <c r="N59" s="716">
        <v>40830</v>
      </c>
      <c r="O59" s="68" t="s">
        <v>52</v>
      </c>
      <c r="P59" s="406">
        <v>24</v>
      </c>
      <c r="Q59" s="394">
        <v>2</v>
      </c>
      <c r="R59" s="394">
        <v>9</v>
      </c>
      <c r="S59" s="717">
        <v>112</v>
      </c>
      <c r="T59" s="718">
        <v>14</v>
      </c>
      <c r="U59" s="717">
        <v>60</v>
      </c>
      <c r="V59" s="718">
        <v>6</v>
      </c>
      <c r="W59" s="717">
        <v>167</v>
      </c>
      <c r="X59" s="718">
        <v>23</v>
      </c>
      <c r="Y59" s="673">
        <f>SUM(S59+U59+W59)</f>
        <v>339</v>
      </c>
      <c r="Z59" s="674">
        <f>T59+V59+X59</f>
        <v>43</v>
      </c>
      <c r="AA59" s="376">
        <f>IF(Y59&lt;&gt;0,Z59/Q59,"")</f>
        <v>21.5</v>
      </c>
      <c r="AB59" s="377">
        <f>IF(Y59&lt;&gt;0,Y59/Z59,"")</f>
        <v>7.883720930232558</v>
      </c>
      <c r="AC59" s="378">
        <v>276</v>
      </c>
      <c r="AD59" s="379">
        <f>IF(AC59&lt;&gt;0,-(AC59-Y59)/AC59,"")</f>
        <v>0.22826086956521738</v>
      </c>
      <c r="AE59" s="380">
        <f>AG59-Y59</f>
        <v>90</v>
      </c>
      <c r="AF59" s="376">
        <f>AH59-Z59</f>
        <v>29</v>
      </c>
      <c r="AG59" s="399">
        <v>429</v>
      </c>
      <c r="AH59" s="672">
        <v>72</v>
      </c>
      <c r="AI59" s="379">
        <f>Z59*1/AH59</f>
        <v>0.5972222222222222</v>
      </c>
      <c r="AJ59" s="379">
        <f>AF59*1/AH59</f>
        <v>0.4027777777777778</v>
      </c>
      <c r="AK59" s="376">
        <f>AH59/Q59</f>
        <v>36</v>
      </c>
      <c r="AL59" s="377">
        <f>AG59/AH59</f>
        <v>5.958333333333333</v>
      </c>
      <c r="AM59" s="378">
        <v>1775</v>
      </c>
      <c r="AN59" s="379">
        <f>IF(AM59&lt;&gt;0,-(AM59-AG59)/AM59,"")</f>
        <v>-0.7583098591549295</v>
      </c>
      <c r="AO59" s="733">
        <v>56527</v>
      </c>
      <c r="AP59" s="382">
        <v>5610</v>
      </c>
      <c r="AQ59" s="385">
        <f>AO59/AP59</f>
        <v>10.076114081996435</v>
      </c>
      <c r="AR59" s="386">
        <v>40928</v>
      </c>
      <c r="AS59" s="693">
        <v>57</v>
      </c>
      <c r="AT59" s="62"/>
    </row>
    <row r="60" spans="1:46" s="10" customFormat="1" ht="15" customHeight="1">
      <c r="A60" s="218">
        <v>50</v>
      </c>
      <c r="B60" s="719"/>
      <c r="C60" s="720" t="s">
        <v>261</v>
      </c>
      <c r="D60" s="710"/>
      <c r="E60" s="710"/>
      <c r="F60" s="710"/>
      <c r="G60" s="710"/>
      <c r="H60" s="726"/>
      <c r="I60" s="726"/>
      <c r="J60" s="261" t="s">
        <v>159</v>
      </c>
      <c r="K60" s="68" t="s">
        <v>164</v>
      </c>
      <c r="L60" s="68" t="s">
        <v>79</v>
      </c>
      <c r="M60" s="68" t="s">
        <v>165</v>
      </c>
      <c r="N60" s="723">
        <v>40886</v>
      </c>
      <c r="O60" s="68" t="s">
        <v>13</v>
      </c>
      <c r="P60" s="372">
        <v>3</v>
      </c>
      <c r="Q60" s="373">
        <v>1</v>
      </c>
      <c r="R60" s="373">
        <v>6</v>
      </c>
      <c r="S60" s="383">
        <v>113</v>
      </c>
      <c r="T60" s="384">
        <v>18</v>
      </c>
      <c r="U60" s="383">
        <v>80</v>
      </c>
      <c r="V60" s="384">
        <v>13</v>
      </c>
      <c r="W60" s="383">
        <v>140</v>
      </c>
      <c r="X60" s="384">
        <v>23</v>
      </c>
      <c r="Y60" s="673">
        <f>SUM(S60+U60+W60)</f>
        <v>333</v>
      </c>
      <c r="Z60" s="674">
        <f>T60+V60+X60</f>
        <v>54</v>
      </c>
      <c r="AA60" s="376">
        <f>IF(Y60&lt;&gt;0,Z60/Q60,"")</f>
        <v>54</v>
      </c>
      <c r="AB60" s="377">
        <f>IF(Y60&lt;&gt;0,Y60/Z60,"")</f>
        <v>6.166666666666667</v>
      </c>
      <c r="AC60" s="378">
        <v>1805</v>
      </c>
      <c r="AD60" s="379">
        <f>IF(AC60&lt;&gt;0,-(AC60-Y60)/AC60,"")</f>
        <v>-0.8155124653739613</v>
      </c>
      <c r="AE60" s="380">
        <f>AG60-Y60</f>
        <v>3402</v>
      </c>
      <c r="AF60" s="376">
        <f>AH60-Z60</f>
        <v>511</v>
      </c>
      <c r="AG60" s="381">
        <v>3735</v>
      </c>
      <c r="AH60" s="382">
        <v>565</v>
      </c>
      <c r="AI60" s="379">
        <f>Z60*1/AH60</f>
        <v>0.09557522123893805</v>
      </c>
      <c r="AJ60" s="379">
        <f>AF60*1/AH60</f>
        <v>0.904424778761062</v>
      </c>
      <c r="AK60" s="376">
        <f>AH60/Q60</f>
        <v>565</v>
      </c>
      <c r="AL60" s="377">
        <f>AG60/AH60</f>
        <v>6.610619469026549</v>
      </c>
      <c r="AM60" s="381">
        <v>402</v>
      </c>
      <c r="AN60" s="379">
        <f>IF(AM60&lt;&gt;0,-(AM60-AG60)/AM60,"")</f>
        <v>8.291044776119403</v>
      </c>
      <c r="AO60" s="381">
        <v>16424</v>
      </c>
      <c r="AP60" s="382">
        <v>2391</v>
      </c>
      <c r="AQ60" s="385">
        <f>AO60/AP60</f>
        <v>6.8690924299456295</v>
      </c>
      <c r="AR60" s="386">
        <v>40928</v>
      </c>
      <c r="AS60" s="693">
        <v>32</v>
      </c>
      <c r="AT60" s="62"/>
    </row>
    <row r="61" spans="1:46" s="10" customFormat="1" ht="15" customHeight="1" thickBot="1">
      <c r="A61" s="218">
        <v>51</v>
      </c>
      <c r="B61" s="753"/>
      <c r="C61" s="754" t="s">
        <v>261</v>
      </c>
      <c r="D61" s="755"/>
      <c r="E61" s="755"/>
      <c r="F61" s="755"/>
      <c r="G61" s="755"/>
      <c r="H61" s="756"/>
      <c r="I61" s="757" t="s">
        <v>54</v>
      </c>
      <c r="J61" s="694" t="s">
        <v>77</v>
      </c>
      <c r="K61" s="74" t="s">
        <v>188</v>
      </c>
      <c r="L61" s="74"/>
      <c r="M61" s="74" t="s">
        <v>173</v>
      </c>
      <c r="N61" s="758">
        <v>40865</v>
      </c>
      <c r="O61" s="74" t="s">
        <v>52</v>
      </c>
      <c r="P61" s="759">
        <v>64</v>
      </c>
      <c r="Q61" s="411">
        <v>2</v>
      </c>
      <c r="R61" s="411">
        <v>10</v>
      </c>
      <c r="S61" s="760">
        <v>60</v>
      </c>
      <c r="T61" s="761">
        <v>8</v>
      </c>
      <c r="U61" s="760">
        <v>118</v>
      </c>
      <c r="V61" s="761">
        <v>16</v>
      </c>
      <c r="W61" s="760">
        <v>117</v>
      </c>
      <c r="X61" s="761">
        <v>16</v>
      </c>
      <c r="Y61" s="762">
        <f>SUM(S61+U61+W61)</f>
        <v>295</v>
      </c>
      <c r="Z61" s="763">
        <f>T61+V61+X61</f>
        <v>40</v>
      </c>
      <c r="AA61" s="412">
        <f>IF(Y61&lt;&gt;0,Z61/Q61,"")</f>
        <v>20</v>
      </c>
      <c r="AB61" s="413">
        <f>IF(Y61&lt;&gt;0,Y61/Z61,"")</f>
        <v>7.375</v>
      </c>
      <c r="AC61" s="414">
        <v>74</v>
      </c>
      <c r="AD61" s="415">
        <f>IF(AC61&lt;&gt;0,-(AC61-Y61)/AC61,"")</f>
        <v>2.9864864864864864</v>
      </c>
      <c r="AE61" s="416">
        <f>AG61-Y61</f>
        <v>-100</v>
      </c>
      <c r="AF61" s="412">
        <f>AH61-Z61</f>
        <v>-9</v>
      </c>
      <c r="AG61" s="695">
        <v>195</v>
      </c>
      <c r="AH61" s="696">
        <v>31</v>
      </c>
      <c r="AI61" s="415">
        <f>Z61*1/AH61</f>
        <v>1.2903225806451613</v>
      </c>
      <c r="AJ61" s="415">
        <f>AF61*1/AH61</f>
        <v>-0.2903225806451613</v>
      </c>
      <c r="AK61" s="412">
        <f>AH61/Q61</f>
        <v>15.5</v>
      </c>
      <c r="AL61" s="413">
        <f>AG61/AH61</f>
        <v>6.290322580645161</v>
      </c>
      <c r="AM61" s="697">
        <v>1985</v>
      </c>
      <c r="AN61" s="415">
        <f>IF(AM61&lt;&gt;0,-(AM61-AG61)/AM61,"")</f>
        <v>-0.9017632241813602</v>
      </c>
      <c r="AO61" s="764">
        <v>429101</v>
      </c>
      <c r="AP61" s="765">
        <v>43848</v>
      </c>
      <c r="AQ61" s="417">
        <f>AO61/AP61</f>
        <v>9.786101988688195</v>
      </c>
      <c r="AR61" s="418">
        <v>40928</v>
      </c>
      <c r="AS61" s="698">
        <v>60</v>
      </c>
      <c r="AT61" s="62"/>
    </row>
    <row r="62" spans="1:46" s="10" customFormat="1" ht="15" customHeight="1" hidden="1">
      <c r="A62" s="218">
        <v>22</v>
      </c>
      <c r="B62" s="677"/>
      <c r="C62" s="678" t="s">
        <v>261</v>
      </c>
      <c r="D62" s="679"/>
      <c r="E62" s="679"/>
      <c r="F62" s="679"/>
      <c r="G62" s="679"/>
      <c r="H62" s="680"/>
      <c r="I62" s="681" t="s">
        <v>54</v>
      </c>
      <c r="J62" s="482" t="s">
        <v>269</v>
      </c>
      <c r="K62" s="339" t="s">
        <v>284</v>
      </c>
      <c r="L62" s="483"/>
      <c r="M62" s="484" t="s">
        <v>269</v>
      </c>
      <c r="N62" s="292">
        <v>40809</v>
      </c>
      <c r="O62" s="286" t="s">
        <v>68</v>
      </c>
      <c r="P62" s="359">
        <v>66</v>
      </c>
      <c r="Q62" s="349">
        <v>2</v>
      </c>
      <c r="R62" s="349">
        <v>17</v>
      </c>
      <c r="S62" s="682">
        <v>471</v>
      </c>
      <c r="T62" s="683">
        <v>115</v>
      </c>
      <c r="U62" s="682">
        <v>378</v>
      </c>
      <c r="V62" s="683">
        <v>54</v>
      </c>
      <c r="W62" s="682">
        <v>714</v>
      </c>
      <c r="X62" s="683">
        <v>185</v>
      </c>
      <c r="Y62" s="684">
        <f>SUM(S62+U62+W62)</f>
        <v>1563</v>
      </c>
      <c r="Z62" s="685">
        <f>T62+V62+X62</f>
        <v>354</v>
      </c>
      <c r="AA62" s="638">
        <f>IF(Y62&lt;&gt;0,Z62/Q62,"")</f>
        <v>177</v>
      </c>
      <c r="AB62" s="639">
        <f>IF(Y62&lt;&gt;0,Y62/Z62,"")</f>
        <v>4.415254237288136</v>
      </c>
      <c r="AC62" s="640">
        <v>1563</v>
      </c>
      <c r="AD62" s="641">
        <f>IF(AC62&lt;&gt;0,-(AC62-Y62)/AC62,"")</f>
        <v>0</v>
      </c>
      <c r="AE62" s="642">
        <f>AG62-Y62</f>
        <v>-593</v>
      </c>
      <c r="AF62" s="638">
        <f>AH62-Z62</f>
        <v>50</v>
      </c>
      <c r="AG62" s="489">
        <v>970</v>
      </c>
      <c r="AH62" s="490">
        <v>404</v>
      </c>
      <c r="AI62" s="641">
        <f>Z62*1/AH62</f>
        <v>0.8762376237623762</v>
      </c>
      <c r="AJ62" s="641">
        <f>AF62*1/AH62</f>
        <v>0.12376237623762376</v>
      </c>
      <c r="AK62" s="638">
        <f>AH62/Q62</f>
        <v>202</v>
      </c>
      <c r="AL62" s="639">
        <f>AG62/AH62</f>
        <v>2.400990099009901</v>
      </c>
      <c r="AM62" s="489">
        <v>4669.5</v>
      </c>
      <c r="AN62" s="641">
        <f>IF(AM62&lt;&gt;0,-(AM62-AG62)/AM62,"")</f>
        <v>-0.7922689795481315</v>
      </c>
      <c r="AO62" s="686">
        <f>382290+386122+344313.5+244996+104138.75+43618.5+27632+12528+6812+832+1782+2257+1782+5477.5+2138.5+4669.5+970</f>
        <v>1572359.25</v>
      </c>
      <c r="AP62" s="687">
        <f>34863+36137+32260+23896+12188+5940+2894+1417+1234+90+446+565+446+1293+535+1220+404</f>
        <v>155828</v>
      </c>
      <c r="AQ62" s="643">
        <f>AO62/AP62</f>
        <v>10.090351220576533</v>
      </c>
      <c r="AR62" s="347">
        <v>40921</v>
      </c>
      <c r="AS62" s="688">
        <v>48</v>
      </c>
      <c r="AT62" s="62"/>
    </row>
    <row r="63" spans="1:46" s="10" customFormat="1" ht="15" customHeight="1" hidden="1">
      <c r="A63" s="218">
        <v>24</v>
      </c>
      <c r="B63" s="644"/>
      <c r="C63" s="648" t="s">
        <v>261</v>
      </c>
      <c r="D63" s="645"/>
      <c r="E63" s="645"/>
      <c r="F63" s="645"/>
      <c r="G63" s="645"/>
      <c r="H63" s="646"/>
      <c r="I63" s="646"/>
      <c r="J63" s="248" t="s">
        <v>154</v>
      </c>
      <c r="K63" s="65" t="s">
        <v>194</v>
      </c>
      <c r="L63" s="69" t="s">
        <v>79</v>
      </c>
      <c r="M63" s="67" t="s">
        <v>155</v>
      </c>
      <c r="N63" s="291">
        <v>40781</v>
      </c>
      <c r="O63" s="68" t="s">
        <v>68</v>
      </c>
      <c r="P63" s="350">
        <v>25</v>
      </c>
      <c r="Q63" s="274">
        <v>2</v>
      </c>
      <c r="R63" s="274">
        <v>17</v>
      </c>
      <c r="S63" s="668">
        <v>256</v>
      </c>
      <c r="T63" s="669">
        <v>41</v>
      </c>
      <c r="U63" s="668">
        <v>432</v>
      </c>
      <c r="V63" s="669">
        <v>68</v>
      </c>
      <c r="W63" s="668">
        <v>386</v>
      </c>
      <c r="X63" s="669">
        <v>59</v>
      </c>
      <c r="Y63" s="673">
        <f>SUM(S63+U63+W63)</f>
        <v>1074</v>
      </c>
      <c r="Z63" s="674">
        <f>T63+V63+X63</f>
        <v>168</v>
      </c>
      <c r="AA63" s="376">
        <f>IF(Y63&lt;&gt;0,Z63/Q63,"")</f>
        <v>84</v>
      </c>
      <c r="AB63" s="377">
        <f>IF(Y63&lt;&gt;0,Y63/Z63,"")</f>
        <v>6.392857142857143</v>
      </c>
      <c r="AC63" s="378">
        <v>1074</v>
      </c>
      <c r="AD63" s="379">
        <f>IF(AC63&lt;&gt;0,-(AC63-Y63)/AC63,"")</f>
        <v>0</v>
      </c>
      <c r="AE63" s="380">
        <f>AG63-Y63</f>
        <v>-220</v>
      </c>
      <c r="AF63" s="376">
        <f>AH63-Z63</f>
        <v>-42</v>
      </c>
      <c r="AG63" s="393">
        <v>854</v>
      </c>
      <c r="AH63" s="398">
        <v>126</v>
      </c>
      <c r="AI63" s="379">
        <f>Z63*1/AH63</f>
        <v>1.3333333333333333</v>
      </c>
      <c r="AJ63" s="379">
        <f>AF63*1/AH63</f>
        <v>-0.3333333333333333</v>
      </c>
      <c r="AK63" s="376">
        <f>AH63/Q63</f>
        <v>63</v>
      </c>
      <c r="AL63" s="377">
        <f>AG63/AH63</f>
        <v>6.777777777777778</v>
      </c>
      <c r="AM63" s="393">
        <v>1705</v>
      </c>
      <c r="AN63" s="379">
        <f>IF(AM63&lt;&gt;0,-(AM63-AG63)/AM63,"")</f>
        <v>-0.4991202346041056</v>
      </c>
      <c r="AO63" s="272">
        <f>144733+112570+56967.5+34113.5+30823.5+33890.5+41306+25896.5+24762.5+2776+2376+588+744+1788+950.5+3841+1705+854</f>
        <v>520685.5</v>
      </c>
      <c r="AP63" s="278">
        <f>11669+10065+5619+3946+3929+4284+5351+3682+3657+420+594+249+124+397+237+653+271+126</f>
        <v>55273</v>
      </c>
      <c r="AQ63" s="385">
        <f>AO63/AP63</f>
        <v>9.420250393501348</v>
      </c>
      <c r="AR63" s="285">
        <v>40921</v>
      </c>
      <c r="AS63" s="670">
        <v>49</v>
      </c>
      <c r="AT63" s="62"/>
    </row>
    <row r="64" spans="1:46" s="10" customFormat="1" ht="15" customHeight="1" hidden="1">
      <c r="A64" s="218">
        <v>29</v>
      </c>
      <c r="B64" s="644"/>
      <c r="C64" s="648" t="s">
        <v>261</v>
      </c>
      <c r="D64" s="651"/>
      <c r="E64" s="645"/>
      <c r="F64" s="645"/>
      <c r="G64" s="656" t="s">
        <v>292</v>
      </c>
      <c r="H64" s="645"/>
      <c r="I64" s="646"/>
      <c r="J64" s="245" t="s">
        <v>402</v>
      </c>
      <c r="K64" s="65" t="s">
        <v>83</v>
      </c>
      <c r="L64" s="72" t="s">
        <v>94</v>
      </c>
      <c r="M64" s="72" t="s">
        <v>407</v>
      </c>
      <c r="N64" s="290">
        <v>40844</v>
      </c>
      <c r="O64" s="68" t="s">
        <v>12</v>
      </c>
      <c r="P64" s="350">
        <v>41</v>
      </c>
      <c r="Q64" s="274">
        <v>1</v>
      </c>
      <c r="R64" s="274">
        <v>12</v>
      </c>
      <c r="S64" s="280">
        <v>86</v>
      </c>
      <c r="T64" s="667">
        <v>14</v>
      </c>
      <c r="U64" s="666">
        <v>399</v>
      </c>
      <c r="V64" s="667">
        <v>61</v>
      </c>
      <c r="W64" s="666">
        <v>271</v>
      </c>
      <c r="X64" s="667">
        <v>41</v>
      </c>
      <c r="Y64" s="673">
        <f>SUM(S64+U64+W64)</f>
        <v>756</v>
      </c>
      <c r="Z64" s="674">
        <f>T64+V64+X64</f>
        <v>116</v>
      </c>
      <c r="AA64" s="376">
        <f>IF(Y64&lt;&gt;0,Z64/Q64,"")</f>
        <v>116</v>
      </c>
      <c r="AB64" s="377">
        <f>IF(Y64&lt;&gt;0,Y64/Z64,"")</f>
        <v>6.517241379310345</v>
      </c>
      <c r="AC64" s="378">
        <v>756</v>
      </c>
      <c r="AD64" s="379">
        <f>IF(AC64&lt;&gt;0,-(AC64-Y64)/AC64,"")</f>
        <v>0</v>
      </c>
      <c r="AE64" s="380">
        <f>AG64-Y64</f>
        <v>436</v>
      </c>
      <c r="AF64" s="376">
        <f>AH64-Z64</f>
        <v>72</v>
      </c>
      <c r="AG64" s="381">
        <v>1192</v>
      </c>
      <c r="AH64" s="382">
        <v>188</v>
      </c>
      <c r="AI64" s="379">
        <f>Z64*1/AH64</f>
        <v>0.6170212765957447</v>
      </c>
      <c r="AJ64" s="379">
        <f>AF64*1/AH64</f>
        <v>0.3829787234042553</v>
      </c>
      <c r="AK64" s="376">
        <f>AH64/Q64</f>
        <v>188</v>
      </c>
      <c r="AL64" s="377">
        <f>AG64/AH64</f>
        <v>6.340425531914893</v>
      </c>
      <c r="AM64" s="381"/>
      <c r="AN64" s="379">
        <f>IF(AM64&lt;&gt;0,-(AM64-AG64)/AM64,"")</f>
      </c>
      <c r="AO64" s="269">
        <v>513253</v>
      </c>
      <c r="AP64" s="282">
        <v>42102</v>
      </c>
      <c r="AQ64" s="385">
        <f>AO64/AP64</f>
        <v>12.190703529523539</v>
      </c>
      <c r="AR64" s="285">
        <v>40921</v>
      </c>
      <c r="AS64" s="670">
        <v>45</v>
      </c>
      <c r="AT64" s="62"/>
    </row>
    <row r="65" spans="1:46" s="10" customFormat="1" ht="15" customHeight="1" hidden="1">
      <c r="A65" s="218">
        <v>30</v>
      </c>
      <c r="B65" s="644"/>
      <c r="C65" s="648" t="s">
        <v>261</v>
      </c>
      <c r="D65" s="651"/>
      <c r="E65" s="652">
        <v>3</v>
      </c>
      <c r="F65" s="645"/>
      <c r="G65" s="645"/>
      <c r="H65" s="646"/>
      <c r="I65" s="646"/>
      <c r="J65" s="254" t="s">
        <v>147</v>
      </c>
      <c r="K65" s="68" t="s">
        <v>166</v>
      </c>
      <c r="L65" s="68" t="s">
        <v>99</v>
      </c>
      <c r="M65" s="68" t="s">
        <v>153</v>
      </c>
      <c r="N65" s="290">
        <v>40900</v>
      </c>
      <c r="O65" s="68" t="s">
        <v>52</v>
      </c>
      <c r="P65" s="353">
        <v>69</v>
      </c>
      <c r="Q65" s="276">
        <v>1</v>
      </c>
      <c r="R65" s="276">
        <v>4</v>
      </c>
      <c r="S65" s="662">
        <v>98</v>
      </c>
      <c r="T65" s="663">
        <v>14</v>
      </c>
      <c r="U65" s="662">
        <v>286.5</v>
      </c>
      <c r="V65" s="663">
        <v>33</v>
      </c>
      <c r="W65" s="662">
        <v>288.5</v>
      </c>
      <c r="X65" s="663">
        <v>32</v>
      </c>
      <c r="Y65" s="675">
        <f>SUM(S65+U65+W65)</f>
        <v>673</v>
      </c>
      <c r="Z65" s="676">
        <f>T65+V65+X65</f>
        <v>79</v>
      </c>
      <c r="AA65" s="376">
        <f>IF(Y65&lt;&gt;0,Z65/Q65,"")</f>
        <v>79</v>
      </c>
      <c r="AB65" s="377">
        <f>IF(Y65&lt;&gt;0,Y65/Z65,"")</f>
        <v>8.518987341772151</v>
      </c>
      <c r="AC65" s="378">
        <v>673</v>
      </c>
      <c r="AD65" s="379">
        <f>IF(AC65&lt;&gt;0,-(AC65-Y65)/AC65,"")</f>
        <v>0</v>
      </c>
      <c r="AE65" s="380">
        <f>AG65-Y65</f>
        <v>896</v>
      </c>
      <c r="AF65" s="376">
        <f>AH65-Z65</f>
        <v>128</v>
      </c>
      <c r="AG65" s="399">
        <v>1569</v>
      </c>
      <c r="AH65" s="672">
        <v>207</v>
      </c>
      <c r="AI65" s="379">
        <f>Z65*1/AH65</f>
        <v>0.38164251207729466</v>
      </c>
      <c r="AJ65" s="379">
        <f>AF65*1/AH65</f>
        <v>0.6183574879227053</v>
      </c>
      <c r="AK65" s="376">
        <f>AH65/Q65</f>
        <v>207</v>
      </c>
      <c r="AL65" s="377">
        <f>AG65/AH65</f>
        <v>7.579710144927536</v>
      </c>
      <c r="AM65" s="381">
        <v>4174</v>
      </c>
      <c r="AN65" s="379">
        <f>IF(AM65&lt;&gt;0,-(AM65-AG65)/AM65,"")</f>
        <v>-0.6241015812170579</v>
      </c>
      <c r="AO65" s="345">
        <f>247246+100865+4174+1569</f>
        <v>353854</v>
      </c>
      <c r="AP65" s="282">
        <f>24388+10455+350+207</f>
        <v>35400</v>
      </c>
      <c r="AQ65" s="385">
        <f>AO65/AP65</f>
        <v>9.99587570621469</v>
      </c>
      <c r="AR65" s="285">
        <v>40921</v>
      </c>
      <c r="AS65" s="670">
        <v>41</v>
      </c>
      <c r="AT65" s="62"/>
    </row>
    <row r="66" spans="1:46" s="10" customFormat="1" ht="15" customHeight="1" hidden="1">
      <c r="A66" s="218">
        <v>31</v>
      </c>
      <c r="B66" s="644"/>
      <c r="C66" s="648" t="s">
        <v>261</v>
      </c>
      <c r="D66" s="645"/>
      <c r="E66" s="645"/>
      <c r="F66" s="645"/>
      <c r="G66" s="645"/>
      <c r="H66" s="646"/>
      <c r="I66" s="653"/>
      <c r="J66" s="258" t="s">
        <v>135</v>
      </c>
      <c r="K66" s="65" t="s">
        <v>133</v>
      </c>
      <c r="L66" s="71" t="s">
        <v>99</v>
      </c>
      <c r="M66" s="69" t="s">
        <v>134</v>
      </c>
      <c r="N66" s="291">
        <v>40851</v>
      </c>
      <c r="O66" s="68" t="s">
        <v>52</v>
      </c>
      <c r="P66" s="352">
        <v>29</v>
      </c>
      <c r="Q66" s="276">
        <v>1</v>
      </c>
      <c r="R66" s="276">
        <v>9</v>
      </c>
      <c r="S66" s="662">
        <v>56</v>
      </c>
      <c r="T66" s="663">
        <v>7</v>
      </c>
      <c r="U66" s="662">
        <v>192</v>
      </c>
      <c r="V66" s="663">
        <v>24</v>
      </c>
      <c r="W66" s="662">
        <v>352</v>
      </c>
      <c r="X66" s="663">
        <v>44</v>
      </c>
      <c r="Y66" s="675">
        <f>SUM(S66+U66+W66)</f>
        <v>600</v>
      </c>
      <c r="Z66" s="676">
        <f>T66+V66+X66</f>
        <v>75</v>
      </c>
      <c r="AA66" s="376">
        <f>IF(Y66&lt;&gt;0,Z66/Q66,"")</f>
        <v>75</v>
      </c>
      <c r="AB66" s="377">
        <f>IF(Y66&lt;&gt;0,Y66/Z66,"")</f>
        <v>8</v>
      </c>
      <c r="AC66" s="378">
        <v>600</v>
      </c>
      <c r="AD66" s="379">
        <f>IF(AC66&lt;&gt;0,-(AC66-Y66)/AC66,"")</f>
        <v>0</v>
      </c>
      <c r="AE66" s="380">
        <f>AG66-Y66</f>
        <v>450</v>
      </c>
      <c r="AF66" s="376">
        <f>AH66-Z66</f>
        <v>75</v>
      </c>
      <c r="AG66" s="399">
        <v>1050</v>
      </c>
      <c r="AH66" s="672">
        <v>150</v>
      </c>
      <c r="AI66" s="379">
        <f>Z66*1/AH66</f>
        <v>0.5</v>
      </c>
      <c r="AJ66" s="379">
        <f>AF66*1/AH66</f>
        <v>0.5</v>
      </c>
      <c r="AK66" s="376">
        <f>AH66/Q66</f>
        <v>150</v>
      </c>
      <c r="AL66" s="377">
        <f>AG66/AH66</f>
        <v>7</v>
      </c>
      <c r="AM66" s="378">
        <v>325</v>
      </c>
      <c r="AN66" s="379">
        <f>IF(AM66&lt;&gt;0,-(AM66-AG66)/AM66,"")</f>
        <v>2.230769230769231</v>
      </c>
      <c r="AO66" s="345">
        <f>58904+19329.5+590+8101+236+218+391.5+325+1050</f>
        <v>89145</v>
      </c>
      <c r="AP66" s="282">
        <f>5890+1991+54+1603+47+38+47+65+150</f>
        <v>9885</v>
      </c>
      <c r="AQ66" s="385">
        <f>AO66/AP66</f>
        <v>9.018209408194235</v>
      </c>
      <c r="AR66" s="285">
        <v>40921</v>
      </c>
      <c r="AS66" s="670">
        <v>47</v>
      </c>
      <c r="AT66" s="62"/>
    </row>
    <row r="67" spans="1:46" s="10" customFormat="1" ht="15" customHeight="1" hidden="1">
      <c r="A67" s="218">
        <v>33</v>
      </c>
      <c r="B67" s="644"/>
      <c r="C67" s="648" t="s">
        <v>261</v>
      </c>
      <c r="D67" s="657" t="s">
        <v>223</v>
      </c>
      <c r="E67" s="652">
        <v>3</v>
      </c>
      <c r="F67" s="660">
        <v>2</v>
      </c>
      <c r="G67" s="645"/>
      <c r="H67" s="645"/>
      <c r="I67" s="646"/>
      <c r="J67" s="245" t="s">
        <v>403</v>
      </c>
      <c r="K67" s="65" t="s">
        <v>91</v>
      </c>
      <c r="L67" s="72" t="s">
        <v>94</v>
      </c>
      <c r="M67" s="72" t="s">
        <v>406</v>
      </c>
      <c r="N67" s="290">
        <v>40802</v>
      </c>
      <c r="O67" s="68" t="s">
        <v>12</v>
      </c>
      <c r="P67" s="350">
        <v>139</v>
      </c>
      <c r="Q67" s="274">
        <v>1</v>
      </c>
      <c r="R67" s="274">
        <v>18</v>
      </c>
      <c r="S67" s="280">
        <v>171</v>
      </c>
      <c r="T67" s="667">
        <v>27</v>
      </c>
      <c r="U67" s="666">
        <v>171</v>
      </c>
      <c r="V67" s="667">
        <v>27</v>
      </c>
      <c r="W67" s="666">
        <v>171</v>
      </c>
      <c r="X67" s="667">
        <v>27</v>
      </c>
      <c r="Y67" s="675">
        <f>SUM(S67+U67+W67)</f>
        <v>513</v>
      </c>
      <c r="Z67" s="676">
        <f>T67+V67+X67</f>
        <v>81</v>
      </c>
      <c r="AA67" s="376">
        <f>IF(Y67&lt;&gt;0,Z67/Q67,"")</f>
        <v>81</v>
      </c>
      <c r="AB67" s="377">
        <f>IF(Y67&lt;&gt;0,Y67/Z67,"")</f>
        <v>6.333333333333333</v>
      </c>
      <c r="AC67" s="378">
        <v>513</v>
      </c>
      <c r="AD67" s="379">
        <f>IF(AC67&lt;&gt;0,-(AC67-Y67)/AC67,"")</f>
        <v>0</v>
      </c>
      <c r="AE67" s="380">
        <f>AG67-Y67</f>
        <v>684</v>
      </c>
      <c r="AF67" s="376">
        <f>AH67-Z67</f>
        <v>108</v>
      </c>
      <c r="AG67" s="381">
        <v>1197</v>
      </c>
      <c r="AH67" s="382">
        <v>189</v>
      </c>
      <c r="AI67" s="379">
        <f>Z67*1/AH67</f>
        <v>0.42857142857142855</v>
      </c>
      <c r="AJ67" s="379">
        <f>AF67*1/AH67</f>
        <v>0.5714285714285714</v>
      </c>
      <c r="AK67" s="376">
        <f>AH67/Q67</f>
        <v>189</v>
      </c>
      <c r="AL67" s="377">
        <f>AG67/AH67</f>
        <v>6.333333333333333</v>
      </c>
      <c r="AM67" s="381"/>
      <c r="AN67" s="379">
        <f>IF(AM67&lt;&gt;0,-(AM67-AG67)/AM67,"")</f>
      </c>
      <c r="AO67" s="269">
        <v>867262</v>
      </c>
      <c r="AP67" s="282">
        <v>93571</v>
      </c>
      <c r="AQ67" s="385">
        <f>AO67/AP67</f>
        <v>9.26849130606705</v>
      </c>
      <c r="AR67" s="285">
        <v>40921</v>
      </c>
      <c r="AS67" s="670">
        <v>44</v>
      </c>
      <c r="AT67" s="62"/>
    </row>
    <row r="68" spans="1:46" s="10" customFormat="1" ht="15" customHeight="1" hidden="1">
      <c r="A68" s="218">
        <v>35</v>
      </c>
      <c r="B68" s="644"/>
      <c r="C68" s="648" t="s">
        <v>261</v>
      </c>
      <c r="D68" s="645"/>
      <c r="E68" s="645"/>
      <c r="F68" s="645"/>
      <c r="G68" s="651"/>
      <c r="H68" s="650" t="s">
        <v>55</v>
      </c>
      <c r="I68" s="644"/>
      <c r="J68" s="245" t="s">
        <v>197</v>
      </c>
      <c r="K68" s="65" t="s">
        <v>209</v>
      </c>
      <c r="L68" s="72" t="s">
        <v>94</v>
      </c>
      <c r="M68" s="72" t="s">
        <v>201</v>
      </c>
      <c r="N68" s="290">
        <v>40823</v>
      </c>
      <c r="O68" s="68" t="s">
        <v>12</v>
      </c>
      <c r="P68" s="350">
        <v>105</v>
      </c>
      <c r="Q68" s="274">
        <v>1</v>
      </c>
      <c r="R68" s="274">
        <v>15</v>
      </c>
      <c r="S68" s="280">
        <v>133</v>
      </c>
      <c r="T68" s="667">
        <v>19</v>
      </c>
      <c r="U68" s="666">
        <v>238</v>
      </c>
      <c r="V68" s="667">
        <v>34</v>
      </c>
      <c r="W68" s="666">
        <v>70</v>
      </c>
      <c r="X68" s="667">
        <v>10</v>
      </c>
      <c r="Y68" s="675">
        <f>SUM(S68+U68+W68)</f>
        <v>441</v>
      </c>
      <c r="Z68" s="676">
        <f>T68+V68+X68</f>
        <v>63</v>
      </c>
      <c r="AA68" s="376">
        <f>IF(Y68&lt;&gt;0,Z68/Q68,"")</f>
        <v>63</v>
      </c>
      <c r="AB68" s="377">
        <f>IF(Y68&lt;&gt;0,Y68/Z68,"")</f>
        <v>7</v>
      </c>
      <c r="AC68" s="378">
        <v>441</v>
      </c>
      <c r="AD68" s="379">
        <f>IF(AC68&lt;&gt;0,-(AC68-Y68)/AC68,"")</f>
        <v>0</v>
      </c>
      <c r="AE68" s="380">
        <f>AG68-Y68</f>
        <v>198</v>
      </c>
      <c r="AF68" s="376">
        <f>AH68-Z68</f>
        <v>30</v>
      </c>
      <c r="AG68" s="381">
        <v>639</v>
      </c>
      <c r="AH68" s="382">
        <v>93</v>
      </c>
      <c r="AI68" s="379">
        <f>Z68*1/AH68</f>
        <v>0.6774193548387096</v>
      </c>
      <c r="AJ68" s="379">
        <f>AF68*1/AH68</f>
        <v>0.3225806451612903</v>
      </c>
      <c r="AK68" s="376">
        <f>AH68/Q68</f>
        <v>93</v>
      </c>
      <c r="AL68" s="377">
        <f>AG68/AH68</f>
        <v>6.870967741935484</v>
      </c>
      <c r="AM68" s="381">
        <v>2631</v>
      </c>
      <c r="AN68" s="379">
        <f>IF(AM68&lt;&gt;0,-(AM68-AG68)/AM68,"")</f>
        <v>-0.7571265678449259</v>
      </c>
      <c r="AO68" s="269">
        <v>1141755</v>
      </c>
      <c r="AP68" s="282">
        <v>122736</v>
      </c>
      <c r="AQ68" s="385">
        <f>AO68/AP68</f>
        <v>9.302527375831051</v>
      </c>
      <c r="AR68" s="285">
        <v>40921</v>
      </c>
      <c r="AS68" s="670">
        <v>53</v>
      </c>
      <c r="AT68" s="62"/>
    </row>
    <row r="69" spans="1:46" s="10" customFormat="1" ht="15" customHeight="1" hidden="1">
      <c r="A69" s="218">
        <v>37</v>
      </c>
      <c r="B69" s="644"/>
      <c r="C69" s="648" t="s">
        <v>261</v>
      </c>
      <c r="D69" s="651"/>
      <c r="E69" s="645"/>
      <c r="F69" s="645"/>
      <c r="G69" s="645"/>
      <c r="H69" s="645"/>
      <c r="I69" s="646"/>
      <c r="J69" s="245" t="s">
        <v>404</v>
      </c>
      <c r="K69" s="65" t="s">
        <v>83</v>
      </c>
      <c r="L69" s="72" t="s">
        <v>94</v>
      </c>
      <c r="M69" s="72" t="s">
        <v>405</v>
      </c>
      <c r="N69" s="290">
        <v>40851</v>
      </c>
      <c r="O69" s="68" t="s">
        <v>12</v>
      </c>
      <c r="P69" s="350">
        <v>72</v>
      </c>
      <c r="Q69" s="274">
        <v>1</v>
      </c>
      <c r="R69" s="274">
        <v>11</v>
      </c>
      <c r="S69" s="280">
        <v>60</v>
      </c>
      <c r="T69" s="667">
        <v>10</v>
      </c>
      <c r="U69" s="666">
        <v>144</v>
      </c>
      <c r="V69" s="667">
        <v>24</v>
      </c>
      <c r="W69" s="666">
        <v>126</v>
      </c>
      <c r="X69" s="667">
        <v>21</v>
      </c>
      <c r="Y69" s="673">
        <f>SUM(S69+U69+W69)</f>
        <v>330</v>
      </c>
      <c r="Z69" s="674">
        <f>T69+V69+X69</f>
        <v>55</v>
      </c>
      <c r="AA69" s="376">
        <f>IF(Y69&lt;&gt;0,Z69/Q69,"")</f>
        <v>55</v>
      </c>
      <c r="AB69" s="377">
        <f>IF(Y69&lt;&gt;0,Y69/Z69,"")</f>
        <v>6</v>
      </c>
      <c r="AC69" s="378">
        <v>330</v>
      </c>
      <c r="AD69" s="379">
        <f>IF(AC69&lt;&gt;0,-(AC69-Y69)/AC69,"")</f>
        <v>0</v>
      </c>
      <c r="AE69" s="380">
        <f>AG69-Y69</f>
        <v>282</v>
      </c>
      <c r="AF69" s="376">
        <f>AH69-Z69</f>
        <v>47</v>
      </c>
      <c r="AG69" s="381">
        <v>612</v>
      </c>
      <c r="AH69" s="382">
        <v>102</v>
      </c>
      <c r="AI69" s="379">
        <f>Z69*1/AH69</f>
        <v>0.5392156862745098</v>
      </c>
      <c r="AJ69" s="379">
        <f>AF69*1/AH69</f>
        <v>0.46078431372549017</v>
      </c>
      <c r="AK69" s="376">
        <f>AH69/Q69</f>
        <v>102</v>
      </c>
      <c r="AL69" s="377">
        <f>AG69/AH69</f>
        <v>6</v>
      </c>
      <c r="AM69" s="381"/>
      <c r="AN69" s="379">
        <f>IF(AM69&lt;&gt;0,-(AM69-AG69)/AM69,"")</f>
      </c>
      <c r="AO69" s="269">
        <v>1116374</v>
      </c>
      <c r="AP69" s="282">
        <v>103200</v>
      </c>
      <c r="AQ69" s="385">
        <f>AO69/AP69</f>
        <v>10.817577519379846</v>
      </c>
      <c r="AR69" s="285">
        <v>40921</v>
      </c>
      <c r="AS69" s="670">
        <v>54</v>
      </c>
      <c r="AT69" s="62"/>
    </row>
    <row r="70" spans="1:46" s="10" customFormat="1" ht="15" customHeight="1" hidden="1">
      <c r="A70" s="218">
        <v>38</v>
      </c>
      <c r="B70" s="644"/>
      <c r="C70" s="648" t="s">
        <v>261</v>
      </c>
      <c r="D70" s="645"/>
      <c r="E70" s="645"/>
      <c r="F70" s="645"/>
      <c r="G70" s="645"/>
      <c r="H70" s="646"/>
      <c r="I70" s="649" t="s">
        <v>54</v>
      </c>
      <c r="J70" s="248" t="s">
        <v>73</v>
      </c>
      <c r="K70" s="67" t="s">
        <v>87</v>
      </c>
      <c r="L70" s="67"/>
      <c r="M70" s="67" t="s">
        <v>73</v>
      </c>
      <c r="N70" s="290">
        <v>40858</v>
      </c>
      <c r="O70" s="68" t="s">
        <v>68</v>
      </c>
      <c r="P70" s="350">
        <v>32</v>
      </c>
      <c r="Q70" s="274">
        <v>2</v>
      </c>
      <c r="R70" s="274">
        <v>10</v>
      </c>
      <c r="S70" s="668">
        <v>36</v>
      </c>
      <c r="T70" s="669">
        <v>6</v>
      </c>
      <c r="U70" s="668">
        <v>92</v>
      </c>
      <c r="V70" s="669">
        <v>14</v>
      </c>
      <c r="W70" s="668">
        <v>189</v>
      </c>
      <c r="X70" s="669">
        <v>26</v>
      </c>
      <c r="Y70" s="675">
        <f>SUM(S70+U70+W70)</f>
        <v>317</v>
      </c>
      <c r="Z70" s="676">
        <f>T70+V70+X70</f>
        <v>46</v>
      </c>
      <c r="AA70" s="376">
        <f>IF(Y70&lt;&gt;0,Z70/Q70,"")</f>
        <v>23</v>
      </c>
      <c r="AB70" s="377">
        <f>IF(Y70&lt;&gt;0,Y70/Z70,"")</f>
        <v>6.891304347826087</v>
      </c>
      <c r="AC70" s="378">
        <v>317</v>
      </c>
      <c r="AD70" s="379">
        <f>IF(AC70&lt;&gt;0,-(AC70-Y70)/AC70,"")</f>
        <v>0</v>
      </c>
      <c r="AE70" s="380">
        <f>AG70-Y70</f>
        <v>415</v>
      </c>
      <c r="AF70" s="376">
        <f>AH70-Z70</f>
        <v>69</v>
      </c>
      <c r="AG70" s="393">
        <v>732</v>
      </c>
      <c r="AH70" s="398">
        <v>115</v>
      </c>
      <c r="AI70" s="379">
        <f>Z70*1/AH70</f>
        <v>0.4</v>
      </c>
      <c r="AJ70" s="379">
        <f>AF70*1/AH70</f>
        <v>0.6</v>
      </c>
      <c r="AK70" s="376">
        <f>AH70/Q70</f>
        <v>57.5</v>
      </c>
      <c r="AL70" s="377">
        <f>AG70/AH70</f>
        <v>6.3652173913043475</v>
      </c>
      <c r="AM70" s="393">
        <v>937</v>
      </c>
      <c r="AN70" s="379">
        <f>IF(AM70&lt;&gt;0,-(AM70-AG70)/AM70,"")</f>
        <v>-0.21878335112059766</v>
      </c>
      <c r="AO70" s="272">
        <f>119417+74006.5+30939.5+15734+17682+7740+3814.5+5519+937+732</f>
        <v>276521.5</v>
      </c>
      <c r="AP70" s="278">
        <f>12383+8559+4204+1986+2778+1301+707+782+165+115</f>
        <v>32980</v>
      </c>
      <c r="AQ70" s="385">
        <f>AO70/AP70</f>
        <v>8.38452092177077</v>
      </c>
      <c r="AR70" s="285">
        <v>40921</v>
      </c>
      <c r="AS70" s="670">
        <v>52</v>
      </c>
      <c r="AT70" s="62"/>
    </row>
    <row r="71" spans="1:46" s="10" customFormat="1" ht="15" customHeight="1" hidden="1">
      <c r="A71" s="218">
        <v>39</v>
      </c>
      <c r="B71" s="644"/>
      <c r="C71" s="648" t="s">
        <v>261</v>
      </c>
      <c r="D71" s="655"/>
      <c r="E71" s="655"/>
      <c r="F71" s="645"/>
      <c r="G71" s="655"/>
      <c r="H71" s="646"/>
      <c r="I71" s="646"/>
      <c r="J71" s="243" t="s">
        <v>291</v>
      </c>
      <c r="K71" s="70" t="s">
        <v>296</v>
      </c>
      <c r="L71" s="68" t="s">
        <v>260</v>
      </c>
      <c r="M71" s="70" t="s">
        <v>295</v>
      </c>
      <c r="N71" s="290">
        <v>40830</v>
      </c>
      <c r="O71" s="68" t="s">
        <v>10</v>
      </c>
      <c r="P71" s="353">
        <v>62</v>
      </c>
      <c r="Q71" s="276">
        <v>1</v>
      </c>
      <c r="R71" s="276">
        <v>13</v>
      </c>
      <c r="S71" s="662">
        <v>24</v>
      </c>
      <c r="T71" s="663">
        <v>4</v>
      </c>
      <c r="U71" s="662">
        <v>96</v>
      </c>
      <c r="V71" s="663">
        <v>16</v>
      </c>
      <c r="W71" s="662">
        <v>120</v>
      </c>
      <c r="X71" s="663">
        <v>20</v>
      </c>
      <c r="Y71" s="673">
        <f>SUM(S71+U71+W71)</f>
        <v>240</v>
      </c>
      <c r="Z71" s="674">
        <f>T71+V71+X71</f>
        <v>40</v>
      </c>
      <c r="AA71" s="376">
        <f>IF(Y71&lt;&gt;0,Z71/Q71,"")</f>
        <v>40</v>
      </c>
      <c r="AB71" s="377">
        <f>IF(Y71&lt;&gt;0,Y71/Z71,"")</f>
        <v>6</v>
      </c>
      <c r="AC71" s="378">
        <v>240</v>
      </c>
      <c r="AD71" s="379">
        <f>IF(AC71&lt;&gt;0,-(AC71-Y71)/AC71,"")</f>
        <v>0</v>
      </c>
      <c r="AE71" s="380">
        <f>AG71-Y71</f>
        <v>372</v>
      </c>
      <c r="AF71" s="376">
        <f>AH71-Z71</f>
        <v>62</v>
      </c>
      <c r="AG71" s="389">
        <v>612</v>
      </c>
      <c r="AH71" s="390">
        <v>102</v>
      </c>
      <c r="AI71" s="379">
        <f>Z71*1/AH71</f>
        <v>0.39215686274509803</v>
      </c>
      <c r="AJ71" s="379">
        <f>AF71*1/AH71</f>
        <v>0.6078431372549019</v>
      </c>
      <c r="AK71" s="376">
        <f>AH71/Q71</f>
        <v>102</v>
      </c>
      <c r="AL71" s="377">
        <f>AG71/AH71</f>
        <v>6</v>
      </c>
      <c r="AM71" s="393">
        <v>1610</v>
      </c>
      <c r="AN71" s="379">
        <f>IF(AM71&lt;&gt;0,-(AM71-AG71)/AM71,"")</f>
        <v>-0.6198757763975156</v>
      </c>
      <c r="AO71" s="283">
        <v>1596314</v>
      </c>
      <c r="AP71" s="284">
        <v>149977</v>
      </c>
      <c r="AQ71" s="385">
        <f>AO71/AP71</f>
        <v>10.643725371223587</v>
      </c>
      <c r="AR71" s="285">
        <v>40921</v>
      </c>
      <c r="AS71" s="670">
        <v>55</v>
      </c>
      <c r="AT71" s="62"/>
    </row>
    <row r="72" spans="1:46" s="10" customFormat="1" ht="15" customHeight="1" hidden="1">
      <c r="A72" s="218">
        <v>42</v>
      </c>
      <c r="B72" s="644"/>
      <c r="C72" s="648" t="s">
        <v>261</v>
      </c>
      <c r="D72" s="645"/>
      <c r="E72" s="645"/>
      <c r="F72" s="645"/>
      <c r="G72" s="645"/>
      <c r="H72" s="646"/>
      <c r="I72" s="649" t="s">
        <v>54</v>
      </c>
      <c r="J72" s="258" t="s">
        <v>304</v>
      </c>
      <c r="K72" s="65" t="s">
        <v>112</v>
      </c>
      <c r="L72" s="65"/>
      <c r="M72" s="69" t="s">
        <v>111</v>
      </c>
      <c r="N72" s="290">
        <v>40886</v>
      </c>
      <c r="O72" s="68" t="s">
        <v>52</v>
      </c>
      <c r="P72" s="352">
        <v>8</v>
      </c>
      <c r="Q72" s="276">
        <v>1</v>
      </c>
      <c r="R72" s="276">
        <v>5</v>
      </c>
      <c r="S72" s="662">
        <v>18</v>
      </c>
      <c r="T72" s="663">
        <v>3</v>
      </c>
      <c r="U72" s="662">
        <v>72</v>
      </c>
      <c r="V72" s="663">
        <v>12</v>
      </c>
      <c r="W72" s="662">
        <v>6</v>
      </c>
      <c r="X72" s="663">
        <v>1</v>
      </c>
      <c r="Y72" s="673">
        <f>SUM(S72+U72+W72)</f>
        <v>96</v>
      </c>
      <c r="Z72" s="674">
        <f>T72+V72+X72</f>
        <v>16</v>
      </c>
      <c r="AA72" s="376">
        <f>IF(Y72&lt;&gt;0,Z72/Q72,"")</f>
        <v>16</v>
      </c>
      <c r="AB72" s="377">
        <f>IF(Y72&lt;&gt;0,Y72/Z72,"")</f>
        <v>6</v>
      </c>
      <c r="AC72" s="378">
        <v>96</v>
      </c>
      <c r="AD72" s="379">
        <f>IF(AC72&lt;&gt;0,-(AC72-Y72)/AC72,"")</f>
        <v>0</v>
      </c>
      <c r="AE72" s="380">
        <f>AG72-Y72</f>
        <v>1824</v>
      </c>
      <c r="AF72" s="376">
        <f>AH72-Z72</f>
        <v>363</v>
      </c>
      <c r="AG72" s="399">
        <v>1920</v>
      </c>
      <c r="AH72" s="672">
        <v>379</v>
      </c>
      <c r="AI72" s="379">
        <f>Z72*1/AH72</f>
        <v>0.04221635883905013</v>
      </c>
      <c r="AJ72" s="379">
        <f>AF72*1/AH72</f>
        <v>0.9577836411609498</v>
      </c>
      <c r="AK72" s="376">
        <f>AH72/Q72</f>
        <v>379</v>
      </c>
      <c r="AL72" s="377">
        <f>AG72/AH72</f>
        <v>5.065963060686016</v>
      </c>
      <c r="AM72" s="378">
        <v>1862</v>
      </c>
      <c r="AN72" s="379">
        <f>IF(AM72&lt;&gt;0,-(AM72-AG72)/AM72,"")</f>
        <v>0.031149301825993556</v>
      </c>
      <c r="AO72" s="345">
        <f>11392+5145+695+1862+1920</f>
        <v>21014</v>
      </c>
      <c r="AP72" s="282">
        <f>1392+701+109+241+379</f>
        <v>2822</v>
      </c>
      <c r="AQ72" s="385">
        <f>AO72/AP72</f>
        <v>7.446491849751949</v>
      </c>
      <c r="AR72" s="285">
        <v>40921</v>
      </c>
      <c r="AS72" s="670">
        <v>40</v>
      </c>
      <c r="AT72" s="62"/>
    </row>
    <row r="73" spans="1:46" s="10" customFormat="1" ht="15" customHeight="1" hidden="1">
      <c r="A73" s="218">
        <v>43</v>
      </c>
      <c r="B73" s="654"/>
      <c r="C73" s="648" t="s">
        <v>261</v>
      </c>
      <c r="D73" s="655"/>
      <c r="E73" s="652">
        <v>3</v>
      </c>
      <c r="F73" s="645"/>
      <c r="G73" s="656" t="s">
        <v>292</v>
      </c>
      <c r="H73" s="644"/>
      <c r="I73" s="647"/>
      <c r="J73" s="261" t="s">
        <v>57</v>
      </c>
      <c r="K73" s="65" t="s">
        <v>97</v>
      </c>
      <c r="L73" s="68" t="s">
        <v>95</v>
      </c>
      <c r="M73" s="68" t="s">
        <v>58</v>
      </c>
      <c r="N73" s="291">
        <v>40795</v>
      </c>
      <c r="O73" s="68" t="s">
        <v>10</v>
      </c>
      <c r="P73" s="355">
        <v>142</v>
      </c>
      <c r="Q73" s="276">
        <v>1</v>
      </c>
      <c r="R73" s="276">
        <v>19</v>
      </c>
      <c r="S73" s="662">
        <v>30</v>
      </c>
      <c r="T73" s="663">
        <v>5</v>
      </c>
      <c r="U73" s="662">
        <v>24</v>
      </c>
      <c r="V73" s="663">
        <v>4</v>
      </c>
      <c r="W73" s="662">
        <v>24</v>
      </c>
      <c r="X73" s="663">
        <v>4</v>
      </c>
      <c r="Y73" s="675">
        <f>SUM(S73+U73+W73)</f>
        <v>78</v>
      </c>
      <c r="Z73" s="676">
        <f>T73+V73+X73</f>
        <v>13</v>
      </c>
      <c r="AA73" s="376">
        <f>IF(Y73&lt;&gt;0,Z73/Q73,"")</f>
        <v>13</v>
      </c>
      <c r="AB73" s="377">
        <f>IF(Y73&lt;&gt;0,Y73/Z73,"")</f>
        <v>6</v>
      </c>
      <c r="AC73" s="378">
        <v>78</v>
      </c>
      <c r="AD73" s="379">
        <f>IF(AC73&lt;&gt;0,-(AC73-Y73)/AC73,"")</f>
        <v>0</v>
      </c>
      <c r="AE73" s="380">
        <f>AG73-Y73</f>
        <v>102</v>
      </c>
      <c r="AF73" s="376">
        <f>AH73-Z73</f>
        <v>17</v>
      </c>
      <c r="AG73" s="389">
        <v>180</v>
      </c>
      <c r="AH73" s="390">
        <v>30</v>
      </c>
      <c r="AI73" s="379">
        <f>Z73*1/AH73</f>
        <v>0.43333333333333335</v>
      </c>
      <c r="AJ73" s="379">
        <f>AF73*1/AH73</f>
        <v>0.5666666666666667</v>
      </c>
      <c r="AK73" s="376">
        <f>AH73/Q73</f>
        <v>30</v>
      </c>
      <c r="AL73" s="377">
        <f>AG73/AH73</f>
        <v>6</v>
      </c>
      <c r="AM73" s="393">
        <v>3430</v>
      </c>
      <c r="AN73" s="379">
        <f>IF(AM73&lt;&gt;0,-(AM73-AG73)/AM73,"")</f>
        <v>-0.9475218658892128</v>
      </c>
      <c r="AO73" s="283">
        <v>4017226</v>
      </c>
      <c r="AP73" s="284">
        <v>390877</v>
      </c>
      <c r="AQ73" s="385">
        <f>AO73/AP73</f>
        <v>10.277468359611847</v>
      </c>
      <c r="AR73" s="285">
        <v>40921</v>
      </c>
      <c r="AS73" s="670">
        <v>61</v>
      </c>
      <c r="AT73" s="62"/>
    </row>
    <row r="74" spans="1:45" s="10" customFormat="1" ht="15" customHeight="1" hidden="1">
      <c r="A74" s="218">
        <v>48</v>
      </c>
      <c r="B74" s="644"/>
      <c r="C74" s="645"/>
      <c r="D74" s="657" t="s">
        <v>223</v>
      </c>
      <c r="E74" s="652">
        <v>3</v>
      </c>
      <c r="F74" s="645"/>
      <c r="G74" s="645"/>
      <c r="H74" s="650" t="s">
        <v>55</v>
      </c>
      <c r="I74" s="659"/>
      <c r="J74" s="258" t="s">
        <v>219</v>
      </c>
      <c r="K74" s="69" t="s">
        <v>183</v>
      </c>
      <c r="L74" s="65" t="s">
        <v>189</v>
      </c>
      <c r="M74" s="70" t="s">
        <v>181</v>
      </c>
      <c r="N74" s="290">
        <v>40907</v>
      </c>
      <c r="O74" s="68" t="s">
        <v>8</v>
      </c>
      <c r="P74" s="356">
        <v>73</v>
      </c>
      <c r="Q74" s="266">
        <v>32</v>
      </c>
      <c r="R74" s="266">
        <v>3</v>
      </c>
      <c r="S74" s="662">
        <v>0</v>
      </c>
      <c r="T74" s="663">
        <v>0</v>
      </c>
      <c r="U74" s="662">
        <v>0</v>
      </c>
      <c r="V74" s="663">
        <v>0</v>
      </c>
      <c r="W74" s="662">
        <v>0</v>
      </c>
      <c r="X74" s="663">
        <v>0</v>
      </c>
      <c r="Y74" s="673">
        <f>SUM(S74+U74+W74)</f>
        <v>0</v>
      </c>
      <c r="Z74" s="674">
        <f>T74+V74+X74</f>
        <v>0</v>
      </c>
      <c r="AA74" s="376">
        <f>IF(Y74&lt;&gt;0,Z74/Q74,"")</f>
      </c>
      <c r="AB74" s="377">
        <f>IF(Y74&lt;&gt;0,Y74/Z74,"")</f>
      </c>
      <c r="AC74" s="378">
        <v>18806</v>
      </c>
      <c r="AD74" s="379">
        <f>IF(AC74&lt;&gt;0,-(AC74-Y74)/AC74,"")</f>
        <v>-1</v>
      </c>
      <c r="AE74" s="380">
        <f>AG74-Y74</f>
        <v>324</v>
      </c>
      <c r="AF74" s="376">
        <f>AH74-Z74</f>
        <v>32</v>
      </c>
      <c r="AG74" s="389">
        <v>324</v>
      </c>
      <c r="AH74" s="390">
        <v>32</v>
      </c>
      <c r="AI74" s="379">
        <f>Z74*1/AH74</f>
        <v>0</v>
      </c>
      <c r="AJ74" s="379">
        <f>AF74*1/AH74</f>
        <v>1</v>
      </c>
      <c r="AK74" s="376">
        <f>AH74/Q74</f>
        <v>1</v>
      </c>
      <c r="AL74" s="377">
        <f>AG74/AH74</f>
        <v>10.125</v>
      </c>
      <c r="AM74" s="381">
        <v>21746</v>
      </c>
      <c r="AN74" s="379">
        <f>IF(AM74&lt;&gt;0,-(AM74-AG74)/AM74,"")</f>
        <v>-0.9851007081762163</v>
      </c>
      <c r="AO74" s="283">
        <v>141554</v>
      </c>
      <c r="AP74" s="284">
        <v>12703</v>
      </c>
      <c r="AQ74" s="385">
        <f>AO74/AP74</f>
        <v>11.143351964102967</v>
      </c>
      <c r="AR74" s="285">
        <v>40921</v>
      </c>
      <c r="AS74" s="670">
        <v>58</v>
      </c>
    </row>
    <row r="75" spans="1:45" s="10" customFormat="1" ht="15" customHeight="1" hidden="1">
      <c r="A75" s="218">
        <v>49</v>
      </c>
      <c r="B75" s="644"/>
      <c r="C75" s="648" t="s">
        <v>261</v>
      </c>
      <c r="D75" s="645"/>
      <c r="E75" s="645"/>
      <c r="F75" s="645"/>
      <c r="G75" s="645"/>
      <c r="H75" s="646"/>
      <c r="I75" s="649" t="s">
        <v>54</v>
      </c>
      <c r="J75" s="248" t="s">
        <v>416</v>
      </c>
      <c r="K75" s="67" t="s">
        <v>218</v>
      </c>
      <c r="L75" s="67"/>
      <c r="M75" s="67" t="s">
        <v>416</v>
      </c>
      <c r="N75" s="290">
        <v>40627</v>
      </c>
      <c r="O75" s="68" t="s">
        <v>68</v>
      </c>
      <c r="P75" s="350">
        <v>137</v>
      </c>
      <c r="Q75" s="274">
        <v>1</v>
      </c>
      <c r="R75" s="274">
        <v>25</v>
      </c>
      <c r="S75" s="668">
        <v>0</v>
      </c>
      <c r="T75" s="669">
        <v>0</v>
      </c>
      <c r="U75" s="668">
        <v>0</v>
      </c>
      <c r="V75" s="669">
        <v>0</v>
      </c>
      <c r="W75" s="668">
        <v>0</v>
      </c>
      <c r="X75" s="669">
        <v>0</v>
      </c>
      <c r="Y75" s="673">
        <f>SUM(S75+U75+W75)</f>
        <v>0</v>
      </c>
      <c r="Z75" s="674">
        <f>T75+V75+X75</f>
        <v>0</v>
      </c>
      <c r="AA75" s="376">
        <f>IF(Y75&lt;&gt;0,Z75/Q75,"")</f>
      </c>
      <c r="AB75" s="377">
        <f>IF(Y75&lt;&gt;0,Y75/Z75,"")</f>
      </c>
      <c r="AC75" s="378">
        <v>0</v>
      </c>
      <c r="AD75" s="379">
        <f>IF(AC75&lt;&gt;0,-(AC75-Y75)/AC75,"")</f>
      </c>
      <c r="AE75" s="380">
        <f>AG75-Y75</f>
        <v>3801.5</v>
      </c>
      <c r="AF75" s="376">
        <f>AH75-Z75</f>
        <v>950</v>
      </c>
      <c r="AG75" s="393">
        <v>3801.5</v>
      </c>
      <c r="AH75" s="398">
        <v>950</v>
      </c>
      <c r="AI75" s="379">
        <f>Z75*1/AH75</f>
        <v>0</v>
      </c>
      <c r="AJ75" s="379">
        <f>AF75*1/AH75</f>
        <v>1</v>
      </c>
      <c r="AK75" s="376">
        <f>AH75/Q75</f>
        <v>950</v>
      </c>
      <c r="AL75" s="377">
        <f>AG75/AH75</f>
        <v>4.001578947368421</v>
      </c>
      <c r="AM75" s="393"/>
      <c r="AN75" s="379">
        <f>IF(AM75&lt;&gt;0,-(AM75-AG75)/AM75,"")</f>
      </c>
      <c r="AO75" s="272">
        <f>1066061.5+1061275+813239.75+606216+468367.5+266511+137274.5+89937.5+9478+4671.5+2215.5+593.5+2273.5+2234+1858+10514.5+2603+2122+2001+349+713+2613.5+475.5+3801.5</f>
        <v>4557399.75</v>
      </c>
      <c r="AP75" s="278">
        <f>110278+106719+82858+62672+50883+32012+17904+13463+1427+637+352+91+261+268+240+2410+402+325+272+26+178+653+109+950</f>
        <v>485390</v>
      </c>
      <c r="AQ75" s="385">
        <f>AO75/AP75</f>
        <v>9.389150476936072</v>
      </c>
      <c r="AR75" s="285">
        <v>40921</v>
      </c>
      <c r="AS75" s="670">
        <v>30</v>
      </c>
    </row>
    <row r="76" spans="1:45" s="10" customFormat="1" ht="15" customHeight="1" hidden="1">
      <c r="A76" s="218">
        <v>52</v>
      </c>
      <c r="B76" s="644"/>
      <c r="C76" s="648" t="s">
        <v>261</v>
      </c>
      <c r="D76" s="645"/>
      <c r="E76" s="645"/>
      <c r="F76" s="645"/>
      <c r="G76" s="645"/>
      <c r="H76" s="650" t="s">
        <v>55</v>
      </c>
      <c r="I76" s="647"/>
      <c r="J76" s="248" t="s">
        <v>362</v>
      </c>
      <c r="K76" s="67" t="s">
        <v>126</v>
      </c>
      <c r="L76" s="69" t="s">
        <v>414</v>
      </c>
      <c r="M76" s="67" t="s">
        <v>362</v>
      </c>
      <c r="N76" s="290">
        <v>40641</v>
      </c>
      <c r="O76" s="68" t="s">
        <v>68</v>
      </c>
      <c r="P76" s="350">
        <v>137</v>
      </c>
      <c r="Q76" s="274">
        <v>1</v>
      </c>
      <c r="R76" s="274">
        <v>38</v>
      </c>
      <c r="S76" s="668">
        <v>0</v>
      </c>
      <c r="T76" s="669">
        <v>0</v>
      </c>
      <c r="U76" s="668">
        <v>0</v>
      </c>
      <c r="V76" s="669">
        <v>0</v>
      </c>
      <c r="W76" s="668">
        <v>0</v>
      </c>
      <c r="X76" s="669">
        <v>0</v>
      </c>
      <c r="Y76" s="673">
        <f>SUM(S76+U76+W76)</f>
        <v>0</v>
      </c>
      <c r="Z76" s="674">
        <f>T76+V76+X76</f>
        <v>0</v>
      </c>
      <c r="AA76" s="376">
        <f>IF(Y76&lt;&gt;0,Z76/Q76,"")</f>
      </c>
      <c r="AB76" s="377">
        <f>IF(Y76&lt;&gt;0,Y76/Z76,"")</f>
      </c>
      <c r="AC76" s="378">
        <v>0</v>
      </c>
      <c r="AD76" s="379">
        <f>IF(AC76&lt;&gt;0,-(AC76-Y76)/AC76,"")</f>
      </c>
      <c r="AE76" s="380">
        <f>AG76-Y76</f>
        <v>3705</v>
      </c>
      <c r="AF76" s="376">
        <f>AH76-Z76</f>
        <v>1571</v>
      </c>
      <c r="AG76" s="393">
        <v>3705</v>
      </c>
      <c r="AH76" s="398">
        <v>1571</v>
      </c>
      <c r="AI76" s="379">
        <f>Z76*1/AH76</f>
        <v>0</v>
      </c>
      <c r="AJ76" s="379">
        <f>AF76*1/AH76</f>
        <v>1</v>
      </c>
      <c r="AK76" s="376">
        <f>AH76/Q76</f>
        <v>1571</v>
      </c>
      <c r="AL76" s="377">
        <f>AG76/AH76</f>
        <v>2.3583704646721833</v>
      </c>
      <c r="AM76" s="393">
        <v>2318</v>
      </c>
      <c r="AN76" s="379">
        <f>IF(AM76&lt;&gt;0,-(AM76-AG76)/AM76,"")</f>
        <v>0.5983606557377049</v>
      </c>
      <c r="AO76" s="272">
        <f>1093950.25+883807.25+882248.49+232093.5+101981.5+57830.5+19947.5+33359.5+10973.5+10465+4630+3501.5+10659+9758.5+3633+5790+6145.5+1329.5+1868.5+1128+2980.5+1299.5+16988+15449+14138+200+1908+7960+4871+1544.5+1533+891+3175+713+425+224+993+2318+3705</f>
        <v>3456415.99</v>
      </c>
      <c r="AP76" s="278">
        <f>103570+88345+90215+25333+13427+8958+3731+5336+2366+2057+997+691+1831+2140+654+1021+736+207+401+189+424+234+4142+3841+3526+40+471+1991+1218+386+96+56+735+178+84+42+228+1120+1571</f>
        <v>372588</v>
      </c>
      <c r="AQ76" s="385">
        <f>AO76/AP76</f>
        <v>9.276777539802678</v>
      </c>
      <c r="AR76" s="285">
        <v>40921</v>
      </c>
      <c r="AS76" s="670">
        <v>33</v>
      </c>
    </row>
    <row r="77" spans="1:46" s="10" customFormat="1" ht="15" customHeight="1" hidden="1">
      <c r="A77" s="218">
        <v>59</v>
      </c>
      <c r="B77" s="644"/>
      <c r="C77" s="648" t="s">
        <v>261</v>
      </c>
      <c r="D77" s="645"/>
      <c r="E77" s="645"/>
      <c r="F77" s="645"/>
      <c r="G77" s="645"/>
      <c r="H77" s="646"/>
      <c r="I77" s="649" t="s">
        <v>54</v>
      </c>
      <c r="J77" s="248" t="s">
        <v>361</v>
      </c>
      <c r="K77" s="67" t="s">
        <v>375</v>
      </c>
      <c r="L77" s="69"/>
      <c r="M77" s="67" t="s">
        <v>361</v>
      </c>
      <c r="N77" s="290">
        <v>40676</v>
      </c>
      <c r="O77" s="68" t="s">
        <v>68</v>
      </c>
      <c r="P77" s="350">
        <v>11</v>
      </c>
      <c r="Q77" s="274">
        <v>1</v>
      </c>
      <c r="R77" s="274">
        <v>20</v>
      </c>
      <c r="S77" s="668">
        <v>0</v>
      </c>
      <c r="T77" s="669">
        <v>0</v>
      </c>
      <c r="U77" s="668">
        <v>0</v>
      </c>
      <c r="V77" s="669">
        <v>0</v>
      </c>
      <c r="W77" s="668">
        <v>0</v>
      </c>
      <c r="X77" s="669">
        <v>0</v>
      </c>
      <c r="Y77" s="673">
        <f>SUM(S77+U77+W77)</f>
        <v>0</v>
      </c>
      <c r="Z77" s="674">
        <f>T77+V77+X77</f>
        <v>0</v>
      </c>
      <c r="AA77" s="376">
        <f>IF(Y77&lt;&gt;0,Z77/Q77,"")</f>
      </c>
      <c r="AB77" s="377">
        <f>IF(Y77&lt;&gt;0,Y77/Z77,"")</f>
      </c>
      <c r="AC77" s="378">
        <v>0</v>
      </c>
      <c r="AD77" s="379">
        <f>IF(AC77&lt;&gt;0,-(AC77-Y77)/AC77,"")</f>
      </c>
      <c r="AE77" s="380">
        <f>AG77-Y77</f>
        <v>2138.5</v>
      </c>
      <c r="AF77" s="376">
        <f>AH77-Z77</f>
        <v>535</v>
      </c>
      <c r="AG77" s="393">
        <v>2138.5</v>
      </c>
      <c r="AH77" s="398">
        <v>535</v>
      </c>
      <c r="AI77" s="379">
        <f>Z77*1/AH77</f>
        <v>0</v>
      </c>
      <c r="AJ77" s="379">
        <f>AF77*1/AH77</f>
        <v>1</v>
      </c>
      <c r="AK77" s="376">
        <f>AH77/Q77</f>
        <v>535</v>
      </c>
      <c r="AL77" s="377">
        <f>AG77/AH77</f>
        <v>3.997196261682243</v>
      </c>
      <c r="AM77" s="393">
        <v>3801.5</v>
      </c>
      <c r="AN77" s="379">
        <f>IF(AM77&lt;&gt;0,-(AM77-AG77)/AM77,"")</f>
        <v>-0.4374588978034986</v>
      </c>
      <c r="AO77" s="272">
        <f>19776.5+5289.5+3941.5+4149+6030.5+491+2263+886+669+235+576+182+578+116+1188+1782+1782+1782+1782+3801.5+2138.5</f>
        <v>59439</v>
      </c>
      <c r="AP77" s="278">
        <f>2214+710+772+646+1024+103+434+139+105+46+100+16+62+13+297+446+446+446+446+950+535</f>
        <v>9950</v>
      </c>
      <c r="AQ77" s="385">
        <f>AO77/AP77</f>
        <v>5.973768844221105</v>
      </c>
      <c r="AR77" s="285">
        <v>40921</v>
      </c>
      <c r="AS77" s="670">
        <v>37</v>
      </c>
      <c r="AT77" s="342"/>
    </row>
    <row r="78" spans="1:46" s="10" customFormat="1" ht="15" customHeight="1" hidden="1">
      <c r="A78" s="218">
        <v>65</v>
      </c>
      <c r="B78" s="644"/>
      <c r="C78" s="648" t="s">
        <v>261</v>
      </c>
      <c r="D78" s="645"/>
      <c r="E78" s="645"/>
      <c r="F78" s="645"/>
      <c r="G78" s="645"/>
      <c r="H78" s="650" t="s">
        <v>55</v>
      </c>
      <c r="I78" s="647"/>
      <c r="J78" s="248" t="s">
        <v>363</v>
      </c>
      <c r="K78" s="67" t="s">
        <v>376</v>
      </c>
      <c r="L78" s="67" t="s">
        <v>85</v>
      </c>
      <c r="M78" s="67" t="s">
        <v>373</v>
      </c>
      <c r="N78" s="290">
        <v>40347</v>
      </c>
      <c r="O78" s="68" t="s">
        <v>68</v>
      </c>
      <c r="P78" s="350">
        <v>66</v>
      </c>
      <c r="Q78" s="274">
        <v>1</v>
      </c>
      <c r="R78" s="274">
        <v>34</v>
      </c>
      <c r="S78" s="668">
        <v>0</v>
      </c>
      <c r="T78" s="669">
        <v>0</v>
      </c>
      <c r="U78" s="668">
        <v>0</v>
      </c>
      <c r="V78" s="669">
        <v>0</v>
      </c>
      <c r="W78" s="668">
        <v>0</v>
      </c>
      <c r="X78" s="669">
        <v>0</v>
      </c>
      <c r="Y78" s="675">
        <f>SUM(S78+U78+W78)</f>
        <v>0</v>
      </c>
      <c r="Z78" s="676">
        <f>T78+V78+X78</f>
        <v>0</v>
      </c>
      <c r="AA78" s="376">
        <f>IF(Y78&lt;&gt;0,Z78/Q78,"")</f>
      </c>
      <c r="AB78" s="377">
        <f>IF(Y78&lt;&gt;0,Y78/Z78,"")</f>
      </c>
      <c r="AC78" s="378">
        <v>0</v>
      </c>
      <c r="AD78" s="379">
        <f>IF(AC78&lt;&gt;0,-(AC78-Y78)/AC78,"")</f>
      </c>
      <c r="AE78" s="380">
        <f>AG78-Y78</f>
        <v>2138.5</v>
      </c>
      <c r="AF78" s="376">
        <f>AH78-Z78</f>
        <v>535</v>
      </c>
      <c r="AG78" s="393">
        <v>2138.5</v>
      </c>
      <c r="AH78" s="398">
        <v>535</v>
      </c>
      <c r="AI78" s="379">
        <f>Z78*1/AH78</f>
        <v>0</v>
      </c>
      <c r="AJ78" s="379">
        <f>AF78*1/AH78</f>
        <v>1</v>
      </c>
      <c r="AK78" s="376">
        <f>AH78/Q78</f>
        <v>535</v>
      </c>
      <c r="AL78" s="377">
        <f>AG78/AH78</f>
        <v>3.997196261682243</v>
      </c>
      <c r="AM78" s="393">
        <v>2138.5</v>
      </c>
      <c r="AN78" s="379">
        <f>IF(AM78&lt;&gt;0,-(AM78-AG78)/AM78,"")</f>
        <v>0</v>
      </c>
      <c r="AO78" s="272">
        <f>478213+7083+3309.5+6055+4900+8378+4378.5+2349+3103+2074+7679.5+6108+2991.5+2180+2234+642+2775.5+1757+1151+3382+60+1782+2851+1188+713+286+2138.5+2138.5</f>
        <v>561900.5</v>
      </c>
      <c r="AP78" s="278">
        <f>55327+1259+553+1133+756+1285+650+408+682+334+1688+1394+539+483+475+201+677+260+202+852+20+445+712+297+178+67+535+535</f>
        <v>71947</v>
      </c>
      <c r="AQ78" s="385">
        <f>AO78/AP78</f>
        <v>7.809922581900565</v>
      </c>
      <c r="AR78" s="285">
        <v>40921</v>
      </c>
      <c r="AS78" s="670">
        <v>38</v>
      </c>
      <c r="AT78" s="344"/>
    </row>
    <row r="79" spans="1:46" s="10" customFormat="1" ht="15" customHeight="1" hidden="1">
      <c r="A79" s="218">
        <v>67</v>
      </c>
      <c r="B79" s="644"/>
      <c r="C79" s="648" t="s">
        <v>261</v>
      </c>
      <c r="D79" s="645"/>
      <c r="E79" s="645"/>
      <c r="F79" s="645"/>
      <c r="G79" s="645"/>
      <c r="H79" s="650" t="s">
        <v>55</v>
      </c>
      <c r="I79" s="647"/>
      <c r="J79" s="248" t="s">
        <v>382</v>
      </c>
      <c r="K79" s="67" t="s">
        <v>381</v>
      </c>
      <c r="L79" s="67" t="s">
        <v>128</v>
      </c>
      <c r="M79" s="67" t="s">
        <v>374</v>
      </c>
      <c r="N79" s="290">
        <v>40746</v>
      </c>
      <c r="O79" s="68" t="s">
        <v>68</v>
      </c>
      <c r="P79" s="350">
        <v>1</v>
      </c>
      <c r="Q79" s="274">
        <v>1</v>
      </c>
      <c r="R79" s="274">
        <v>8</v>
      </c>
      <c r="S79" s="668">
        <v>0</v>
      </c>
      <c r="T79" s="669">
        <v>0</v>
      </c>
      <c r="U79" s="668">
        <v>0</v>
      </c>
      <c r="V79" s="669">
        <v>0</v>
      </c>
      <c r="W79" s="668">
        <v>0</v>
      </c>
      <c r="X79" s="669">
        <v>0</v>
      </c>
      <c r="Y79" s="673">
        <f>SUM(S79+U79+W79)</f>
        <v>0</v>
      </c>
      <c r="Z79" s="674">
        <f>T79+V79+X79</f>
        <v>0</v>
      </c>
      <c r="AA79" s="376">
        <f>IF(Y79&lt;&gt;0,Z79/Q79,"")</f>
      </c>
      <c r="AB79" s="377">
        <f>IF(Y79&lt;&gt;0,Y79/Z79,"")</f>
      </c>
      <c r="AC79" s="378">
        <v>0</v>
      </c>
      <c r="AD79" s="379">
        <f>IF(AC79&lt;&gt;0,-(AC79-Y79)/AC79,"")</f>
      </c>
      <c r="AE79" s="380">
        <f>AG79-Y79</f>
        <v>2138.5</v>
      </c>
      <c r="AF79" s="376">
        <f>AH79-Z79</f>
        <v>535</v>
      </c>
      <c r="AG79" s="393">
        <v>2138.5</v>
      </c>
      <c r="AH79" s="398">
        <v>535</v>
      </c>
      <c r="AI79" s="379">
        <f>Z79*1/AH79</f>
        <v>0</v>
      </c>
      <c r="AJ79" s="379">
        <f>AF79*1/AH79</f>
        <v>1</v>
      </c>
      <c r="AK79" s="376">
        <f>AH79/Q79</f>
        <v>535</v>
      </c>
      <c r="AL79" s="377">
        <f>AG79/AH79</f>
        <v>3.997196261682243</v>
      </c>
      <c r="AM79" s="393">
        <v>2138.5</v>
      </c>
      <c r="AN79" s="379">
        <f>IF(AM79&lt;&gt;0,-(AM79-AG79)/AM79,"")</f>
        <v>0</v>
      </c>
      <c r="AO79" s="272">
        <f>5298+3611+922.5+907+181+268.5+2138.5+2138.5+2138.5</f>
        <v>17603.5</v>
      </c>
      <c r="AP79" s="278">
        <f>334+225+67+122+18+21+535+535+535</f>
        <v>2392</v>
      </c>
      <c r="AQ79" s="385">
        <f>AO79/AP79</f>
        <v>7.359322742474917</v>
      </c>
      <c r="AR79" s="285">
        <v>40921</v>
      </c>
      <c r="AS79" s="670">
        <v>39</v>
      </c>
      <c r="AT79" s="344"/>
    </row>
    <row r="80" spans="1:46" s="10" customFormat="1" ht="15" customHeight="1" hidden="1">
      <c r="A80" s="218">
        <v>69</v>
      </c>
      <c r="B80" s="644"/>
      <c r="C80" s="648" t="s">
        <v>261</v>
      </c>
      <c r="D80" s="657" t="s">
        <v>223</v>
      </c>
      <c r="E80" s="645"/>
      <c r="F80" s="645"/>
      <c r="G80" s="645"/>
      <c r="H80" s="650" t="s">
        <v>55</v>
      </c>
      <c r="I80" s="647"/>
      <c r="J80" s="248" t="s">
        <v>418</v>
      </c>
      <c r="K80" s="67" t="s">
        <v>126</v>
      </c>
      <c r="L80" s="67" t="s">
        <v>89</v>
      </c>
      <c r="M80" s="67" t="s">
        <v>421</v>
      </c>
      <c r="N80" s="290">
        <v>40543</v>
      </c>
      <c r="O80" s="68" t="s">
        <v>68</v>
      </c>
      <c r="P80" s="350">
        <v>99</v>
      </c>
      <c r="Q80" s="274">
        <v>1</v>
      </c>
      <c r="R80" s="274">
        <v>26</v>
      </c>
      <c r="S80" s="668">
        <v>0</v>
      </c>
      <c r="T80" s="669">
        <v>0</v>
      </c>
      <c r="U80" s="668">
        <v>0</v>
      </c>
      <c r="V80" s="669">
        <v>0</v>
      </c>
      <c r="W80" s="668">
        <v>0</v>
      </c>
      <c r="X80" s="669">
        <v>0</v>
      </c>
      <c r="Y80" s="675">
        <f>SUM(S80+U80+W80)</f>
        <v>0</v>
      </c>
      <c r="Z80" s="676">
        <f>T80+V80+X80</f>
        <v>0</v>
      </c>
      <c r="AA80" s="376">
        <f>IF(Y80&lt;&gt;0,Z80/Q80,"")</f>
      </c>
      <c r="AB80" s="377">
        <f>IF(Y80&lt;&gt;0,Y80/Z80,"")</f>
      </c>
      <c r="AC80" s="378">
        <v>0</v>
      </c>
      <c r="AD80" s="379">
        <f>IF(AC80&lt;&gt;0,-(AC80-Y80)/AC80,"")</f>
      </c>
      <c r="AE80" s="380">
        <f>AG80-Y80</f>
        <v>1425.5</v>
      </c>
      <c r="AF80" s="376">
        <f>AH80-Z80</f>
        <v>356</v>
      </c>
      <c r="AG80" s="393">
        <v>1425.5</v>
      </c>
      <c r="AH80" s="398">
        <v>356</v>
      </c>
      <c r="AI80" s="379">
        <f>Z80*1/AH80</f>
        <v>0</v>
      </c>
      <c r="AJ80" s="379">
        <f>AF80*1/AH80</f>
        <v>1</v>
      </c>
      <c r="AK80" s="376">
        <f>AH80/Q80</f>
        <v>356</v>
      </c>
      <c r="AL80" s="377">
        <f>AG80/AH80</f>
        <v>4.004213483146067</v>
      </c>
      <c r="AM80" s="393"/>
      <c r="AN80" s="379">
        <f>IF(AM80&lt;&gt;0,-(AM80-AG80)/AM80,"")</f>
      </c>
      <c r="AO80" s="272">
        <f>74157.5+721285.5+410076+112730.5+28262.5+6646+19483.5+940+1245+2674.5+7128+1782+331+245+6545.5+694+1782+1782+1782+1188+306+1188+3340+316+713+2376+1425.5</f>
        <v>1410425</v>
      </c>
      <c r="AP80" s="278">
        <f>7361+62279+35611+10987+4077+689+3901+125+178+502+1781+445+78+59+1496+114+446+446+446+297+61+297+668+53+178+594+356</f>
        <v>133525</v>
      </c>
      <c r="AQ80" s="385">
        <f>AO80/AP80</f>
        <v>10.563003182924547</v>
      </c>
      <c r="AR80" s="285">
        <v>40921</v>
      </c>
      <c r="AS80" s="670">
        <v>42</v>
      </c>
      <c r="AT80" s="344"/>
    </row>
    <row r="81" spans="1:46" s="10" customFormat="1" ht="15" customHeight="1" hidden="1">
      <c r="A81" s="218">
        <v>70</v>
      </c>
      <c r="B81" s="644"/>
      <c r="C81" s="648" t="s">
        <v>261</v>
      </c>
      <c r="D81" s="645"/>
      <c r="E81" s="645"/>
      <c r="F81" s="645"/>
      <c r="G81" s="645"/>
      <c r="H81" s="646"/>
      <c r="I81" s="647"/>
      <c r="J81" s="248" t="s">
        <v>417</v>
      </c>
      <c r="K81" s="67" t="s">
        <v>423</v>
      </c>
      <c r="L81" s="67" t="s">
        <v>89</v>
      </c>
      <c r="M81" s="67" t="s">
        <v>417</v>
      </c>
      <c r="N81" s="290">
        <v>40886</v>
      </c>
      <c r="O81" s="68" t="s">
        <v>68</v>
      </c>
      <c r="P81" s="350">
        <v>9</v>
      </c>
      <c r="Q81" s="274">
        <v>1</v>
      </c>
      <c r="R81" s="274">
        <v>3</v>
      </c>
      <c r="S81" s="668">
        <v>0</v>
      </c>
      <c r="T81" s="669">
        <v>0</v>
      </c>
      <c r="U81" s="668">
        <v>0</v>
      </c>
      <c r="V81" s="669">
        <v>0</v>
      </c>
      <c r="W81" s="668">
        <v>0</v>
      </c>
      <c r="X81" s="669">
        <v>0</v>
      </c>
      <c r="Y81" s="673">
        <f>SUM(S81+U81+W81)</f>
        <v>0</v>
      </c>
      <c r="Z81" s="674">
        <f>T81+V81+X81</f>
        <v>0</v>
      </c>
      <c r="AA81" s="376">
        <f>IF(Y81&lt;&gt;0,Z81/Q81,"")</f>
      </c>
      <c r="AB81" s="377">
        <f>IF(Y81&lt;&gt;0,Y81/Z81,"")</f>
      </c>
      <c r="AC81" s="378">
        <v>0</v>
      </c>
      <c r="AD81" s="379">
        <f>IF(AC81&lt;&gt;0,-(AC81-Y81)/AC81,"")</f>
      </c>
      <c r="AE81" s="380">
        <f>AG81-Y81</f>
        <v>1422</v>
      </c>
      <c r="AF81" s="376">
        <f>AH81-Z81</f>
        <v>240</v>
      </c>
      <c r="AG81" s="393">
        <v>1422</v>
      </c>
      <c r="AH81" s="398">
        <v>240</v>
      </c>
      <c r="AI81" s="379">
        <f>Z81*1/AH81</f>
        <v>0</v>
      </c>
      <c r="AJ81" s="379">
        <f>AF81*1/AH81</f>
        <v>1</v>
      </c>
      <c r="AK81" s="376">
        <f>AH81/Q81</f>
        <v>240</v>
      </c>
      <c r="AL81" s="377">
        <f>AG81/AH81</f>
        <v>5.925</v>
      </c>
      <c r="AM81" s="393"/>
      <c r="AN81" s="379">
        <f>IF(AM81&lt;&gt;0,-(AM81-AG81)/AM81,"")</f>
      </c>
      <c r="AO81" s="272">
        <f>55869.5+42730+1422</f>
        <v>100021.5</v>
      </c>
      <c r="AP81" s="278">
        <f>3902+3837+240</f>
        <v>7979</v>
      </c>
      <c r="AQ81" s="385">
        <f>AO81/AP81</f>
        <v>12.535593432760997</v>
      </c>
      <c r="AR81" s="285">
        <v>40921</v>
      </c>
      <c r="AS81" s="670">
        <v>43</v>
      </c>
      <c r="AT81" s="344"/>
    </row>
    <row r="82" spans="1:46" s="10" customFormat="1" ht="15" customHeight="1" hidden="1">
      <c r="A82" s="218">
        <v>77</v>
      </c>
      <c r="B82" s="644"/>
      <c r="C82" s="648" t="s">
        <v>261</v>
      </c>
      <c r="D82" s="645"/>
      <c r="E82" s="645"/>
      <c r="F82" s="645"/>
      <c r="G82" s="645"/>
      <c r="H82" s="646"/>
      <c r="I82" s="647"/>
      <c r="J82" s="248" t="s">
        <v>419</v>
      </c>
      <c r="K82" s="67" t="s">
        <v>422</v>
      </c>
      <c r="L82" s="67" t="s">
        <v>248</v>
      </c>
      <c r="M82" s="67" t="s">
        <v>420</v>
      </c>
      <c r="N82" s="290">
        <v>40746</v>
      </c>
      <c r="O82" s="68" t="s">
        <v>68</v>
      </c>
      <c r="P82" s="350">
        <v>5</v>
      </c>
      <c r="Q82" s="274">
        <v>1</v>
      </c>
      <c r="R82" s="274">
        <v>15</v>
      </c>
      <c r="S82" s="668">
        <v>0</v>
      </c>
      <c r="T82" s="669">
        <v>0</v>
      </c>
      <c r="U82" s="668">
        <v>0</v>
      </c>
      <c r="V82" s="669">
        <v>0</v>
      </c>
      <c r="W82" s="668">
        <v>0</v>
      </c>
      <c r="X82" s="669">
        <v>0</v>
      </c>
      <c r="Y82" s="673">
        <f>SUM(S82+U82+W82)</f>
        <v>0</v>
      </c>
      <c r="Z82" s="674">
        <f>T82+V82+X82</f>
        <v>0</v>
      </c>
      <c r="AA82" s="376">
        <f>IF(Y82&lt;&gt;0,Z82/Q82,"")</f>
      </c>
      <c r="AB82" s="377">
        <f>IF(Y82&lt;&gt;0,Y82/Z82,"")</f>
      </c>
      <c r="AC82" s="378">
        <v>0</v>
      </c>
      <c r="AD82" s="379">
        <f>IF(AC82&lt;&gt;0,-(AC82-Y82)/AC82,"")</f>
      </c>
      <c r="AE82" s="380">
        <f>AG82-Y82</f>
        <v>264</v>
      </c>
      <c r="AF82" s="376">
        <f>AH82-Z82</f>
        <v>44</v>
      </c>
      <c r="AG82" s="393">
        <v>264</v>
      </c>
      <c r="AH82" s="398">
        <v>44</v>
      </c>
      <c r="AI82" s="379">
        <f>Z82*1/AH82</f>
        <v>0</v>
      </c>
      <c r="AJ82" s="379">
        <f>AF82*1/AH82</f>
        <v>1</v>
      </c>
      <c r="AK82" s="376">
        <f>AH82/Q82</f>
        <v>44</v>
      </c>
      <c r="AL82" s="377">
        <f>AG82/AH82</f>
        <v>6</v>
      </c>
      <c r="AM82" s="393"/>
      <c r="AN82" s="379">
        <f>IF(AM82&lt;&gt;0,-(AM82-AG82)/AM82,"")</f>
      </c>
      <c r="AO82" s="272">
        <f>15287.5+10909.5+3453.5+1267.5+1495+5972+1476+196+990+2893+1323+722+1782+684+264</f>
        <v>48715</v>
      </c>
      <c r="AP82" s="278">
        <f>1370+1093+336+155+192+663+166+28+134+385+183+184+446+80+44</f>
        <v>5459</v>
      </c>
      <c r="AQ82" s="385">
        <f>AO82/AP82</f>
        <v>8.923795566953654</v>
      </c>
      <c r="AR82" s="285">
        <v>40921</v>
      </c>
      <c r="AS82" s="670">
        <v>59</v>
      </c>
      <c r="AT82" s="344"/>
    </row>
    <row r="83" spans="1:46" s="10" customFormat="1" ht="15" customHeight="1" hidden="1">
      <c r="A83" s="218">
        <v>78</v>
      </c>
      <c r="B83" s="654"/>
      <c r="C83" s="648" t="s">
        <v>261</v>
      </c>
      <c r="D83" s="655"/>
      <c r="E83" s="655"/>
      <c r="F83" s="645"/>
      <c r="G83" s="655"/>
      <c r="H83" s="646"/>
      <c r="I83" s="649" t="s">
        <v>54</v>
      </c>
      <c r="J83" s="243" t="s">
        <v>338</v>
      </c>
      <c r="K83" s="70" t="s">
        <v>341</v>
      </c>
      <c r="L83" s="65"/>
      <c r="M83" s="70" t="s">
        <v>338</v>
      </c>
      <c r="N83" s="290">
        <v>40830</v>
      </c>
      <c r="O83" s="68" t="s">
        <v>53</v>
      </c>
      <c r="P83" s="354">
        <v>142</v>
      </c>
      <c r="Q83" s="279">
        <v>1</v>
      </c>
      <c r="R83" s="279">
        <v>12</v>
      </c>
      <c r="S83" s="666">
        <v>652</v>
      </c>
      <c r="T83" s="667">
        <v>130</v>
      </c>
      <c r="U83" s="666">
        <v>750</v>
      </c>
      <c r="V83" s="667">
        <v>150</v>
      </c>
      <c r="W83" s="666">
        <v>1000</v>
      </c>
      <c r="X83" s="667">
        <v>200</v>
      </c>
      <c r="Y83" s="675">
        <f>SUM(S83+U83+W83)</f>
        <v>2402</v>
      </c>
      <c r="Z83" s="676">
        <f>T83+V83+X83</f>
        <v>480</v>
      </c>
      <c r="AA83" s="376">
        <f>IF(Y83&lt;&gt;0,Z83/Q83,"")</f>
        <v>480</v>
      </c>
      <c r="AB83" s="377">
        <f>IF(Y83&lt;&gt;0,Y83/Z83,"")</f>
        <v>5.004166666666666</v>
      </c>
      <c r="AC83" s="275">
        <v>2402</v>
      </c>
      <c r="AD83" s="379">
        <f>IF(AC83&lt;&gt;0,-(AC83-Y83)/AC83,"")</f>
        <v>0</v>
      </c>
      <c r="AE83" s="271">
        <f>AG83-Y83</f>
        <v>0</v>
      </c>
      <c r="AF83" s="267">
        <f>AH83-Z83</f>
        <v>0</v>
      </c>
      <c r="AG83" s="269">
        <v>2402</v>
      </c>
      <c r="AH83" s="282">
        <v>480</v>
      </c>
      <c r="AI83" s="270">
        <f>Z83*1/AH83</f>
        <v>1</v>
      </c>
      <c r="AJ83" s="270">
        <f>AF83*1/AH83</f>
        <v>0</v>
      </c>
      <c r="AK83" s="267">
        <f>AH83/Q83</f>
        <v>480</v>
      </c>
      <c r="AL83" s="268">
        <f>AG83/AH83</f>
        <v>5.004166666666666</v>
      </c>
      <c r="AM83" s="269">
        <v>2402</v>
      </c>
      <c r="AN83" s="270">
        <f>IF(AM83&lt;&gt;0,-(AM83-AG83)/AM83,"")</f>
        <v>0</v>
      </c>
      <c r="AO83" s="269">
        <f>248732+139942.5+41015.5+4968+2270+1973+10279+6007+1097+295+261+2402</f>
        <v>459242</v>
      </c>
      <c r="AP83" s="282">
        <f>33636+19210+5940+800+378+422+1552+983+159+45+36+480</f>
        <v>63641</v>
      </c>
      <c r="AQ83" s="385">
        <f>AO83/AP83</f>
        <v>7.216134253075848</v>
      </c>
      <c r="AR83" s="285">
        <v>40914</v>
      </c>
      <c r="AS83" s="671" t="s">
        <v>357</v>
      </c>
      <c r="AT83" s="344"/>
    </row>
    <row r="84" spans="1:46" s="10" customFormat="1" ht="15" customHeight="1" hidden="1">
      <c r="A84" s="218">
        <v>87</v>
      </c>
      <c r="B84" s="644"/>
      <c r="C84" s="648" t="s">
        <v>261</v>
      </c>
      <c r="D84" s="645"/>
      <c r="E84" s="645"/>
      <c r="F84" s="645"/>
      <c r="G84" s="645"/>
      <c r="H84" s="646"/>
      <c r="I84" s="646"/>
      <c r="J84" s="248" t="s">
        <v>69</v>
      </c>
      <c r="K84" s="65" t="s">
        <v>88</v>
      </c>
      <c r="L84" s="67" t="s">
        <v>89</v>
      </c>
      <c r="M84" s="69" t="s">
        <v>70</v>
      </c>
      <c r="N84" s="291">
        <v>40844</v>
      </c>
      <c r="O84" s="68" t="s">
        <v>68</v>
      </c>
      <c r="P84" s="350">
        <v>65</v>
      </c>
      <c r="Q84" s="274">
        <v>3</v>
      </c>
      <c r="R84" s="274">
        <v>11</v>
      </c>
      <c r="S84" s="668">
        <v>292</v>
      </c>
      <c r="T84" s="669">
        <v>46</v>
      </c>
      <c r="U84" s="668">
        <v>785</v>
      </c>
      <c r="V84" s="669">
        <v>118</v>
      </c>
      <c r="W84" s="668">
        <v>542</v>
      </c>
      <c r="X84" s="669">
        <v>82</v>
      </c>
      <c r="Y84" s="675">
        <f>SUM(S84+U84+W84)</f>
        <v>1619</v>
      </c>
      <c r="Z84" s="676">
        <f>T84+V84+X84</f>
        <v>246</v>
      </c>
      <c r="AA84" s="376">
        <f>IF(Y84&lt;&gt;0,Z84/Q84,"")</f>
        <v>82</v>
      </c>
      <c r="AB84" s="377">
        <f>IF(Y84&lt;&gt;0,Y84/Z84,"")</f>
        <v>6.58130081300813</v>
      </c>
      <c r="AC84" s="275">
        <v>1619</v>
      </c>
      <c r="AD84" s="379">
        <f>IF(AC84&lt;&gt;0,-(AC84-Y84)/AC84,"")</f>
        <v>0</v>
      </c>
      <c r="AE84" s="271">
        <f>AG84-Y84</f>
        <v>903</v>
      </c>
      <c r="AF84" s="267">
        <f>AH84-Z84</f>
        <v>137</v>
      </c>
      <c r="AG84" s="272">
        <v>2522</v>
      </c>
      <c r="AH84" s="278">
        <v>383</v>
      </c>
      <c r="AI84" s="270">
        <f>Z84*1/AH84</f>
        <v>0.6422976501305483</v>
      </c>
      <c r="AJ84" s="270">
        <f>AF84*1/AH84</f>
        <v>0.3577023498694517</v>
      </c>
      <c r="AK84" s="267">
        <f>AH84/Q84</f>
        <v>127.66666666666667</v>
      </c>
      <c r="AL84" s="268">
        <f>AG84/AH84</f>
        <v>6.584856396866841</v>
      </c>
      <c r="AM84" s="272">
        <v>2522</v>
      </c>
      <c r="AN84" s="270">
        <f>IF(AM84&lt;&gt;0,-(AM84-AG84)/AM84,"")</f>
        <v>0</v>
      </c>
      <c r="AO84" s="272">
        <f>436701.5+604505+232735.5+57290.5+18114+16414.5+17253.5+4587+2405+7426+2522</f>
        <v>1399954.5</v>
      </c>
      <c r="AP84" s="278">
        <f>39979+54264+21249+5324+1678+2463+2408+819+357+1233+383</f>
        <v>130157</v>
      </c>
      <c r="AQ84" s="385">
        <f>AO84/AP84</f>
        <v>10.755890962453037</v>
      </c>
      <c r="AR84" s="285">
        <v>40914</v>
      </c>
      <c r="AS84" s="671" t="s">
        <v>357</v>
      </c>
      <c r="AT84" s="62"/>
    </row>
    <row r="85" spans="1:46" s="10" customFormat="1" ht="15" customHeight="1" hidden="1">
      <c r="A85" s="218">
        <v>88</v>
      </c>
      <c r="B85" s="644"/>
      <c r="C85" s="648" t="s">
        <v>261</v>
      </c>
      <c r="D85" s="645"/>
      <c r="E85" s="645"/>
      <c r="F85" s="645"/>
      <c r="G85" s="645"/>
      <c r="H85" s="646"/>
      <c r="I85" s="646"/>
      <c r="J85" s="245" t="s">
        <v>200</v>
      </c>
      <c r="K85" s="65" t="s">
        <v>205</v>
      </c>
      <c r="L85" s="72" t="s">
        <v>206</v>
      </c>
      <c r="M85" s="72" t="s">
        <v>204</v>
      </c>
      <c r="N85" s="290">
        <v>40872</v>
      </c>
      <c r="O85" s="68" t="s">
        <v>12</v>
      </c>
      <c r="P85" s="350">
        <v>55</v>
      </c>
      <c r="Q85" s="274">
        <v>2</v>
      </c>
      <c r="R85" s="274">
        <v>7</v>
      </c>
      <c r="S85" s="280">
        <v>213</v>
      </c>
      <c r="T85" s="667">
        <v>33</v>
      </c>
      <c r="U85" s="666">
        <v>229</v>
      </c>
      <c r="V85" s="667">
        <v>35</v>
      </c>
      <c r="W85" s="666">
        <v>236</v>
      </c>
      <c r="X85" s="667">
        <v>36</v>
      </c>
      <c r="Y85" s="675">
        <f>SUM(S85+U85+W85)</f>
        <v>678</v>
      </c>
      <c r="Z85" s="676">
        <f>T85+V85+X85</f>
        <v>104</v>
      </c>
      <c r="AA85" s="376">
        <f>IF(Y85&lt;&gt;0,Z85/Q85,"")</f>
        <v>52</v>
      </c>
      <c r="AB85" s="377">
        <f>IF(Y85&lt;&gt;0,Y85/Z85,"")</f>
        <v>6.519230769230769</v>
      </c>
      <c r="AC85" s="275">
        <v>678</v>
      </c>
      <c r="AD85" s="379">
        <f>IF(AC85&lt;&gt;0,-(AC85-Y85)/AC85,"")</f>
        <v>0</v>
      </c>
      <c r="AE85" s="271">
        <f>AG85-Y85</f>
        <v>811</v>
      </c>
      <c r="AF85" s="267">
        <f>AH85-Z85</f>
        <v>126</v>
      </c>
      <c r="AG85" s="269">
        <v>1489</v>
      </c>
      <c r="AH85" s="282">
        <v>230</v>
      </c>
      <c r="AI85" s="270">
        <f>Z85*1/AH85</f>
        <v>0.45217391304347826</v>
      </c>
      <c r="AJ85" s="270">
        <f>AF85*1/AH85</f>
        <v>0.5478260869565217</v>
      </c>
      <c r="AK85" s="267">
        <f>AH85/Q85</f>
        <v>115</v>
      </c>
      <c r="AL85" s="268">
        <f>AG85/AH85</f>
        <v>6.473913043478261</v>
      </c>
      <c r="AM85" s="269">
        <v>1489</v>
      </c>
      <c r="AN85" s="270">
        <f>IF(AM85&lt;&gt;0,-(AM85-AG85)/AM85,"")</f>
        <v>0</v>
      </c>
      <c r="AO85" s="269">
        <v>755597</v>
      </c>
      <c r="AP85" s="282">
        <v>62961</v>
      </c>
      <c r="AQ85" s="385">
        <f>AO85/AP85</f>
        <v>12.001032385127301</v>
      </c>
      <c r="AR85" s="285">
        <v>40914</v>
      </c>
      <c r="AS85" s="671" t="s">
        <v>357</v>
      </c>
      <c r="AT85" s="62"/>
    </row>
    <row r="86" spans="1:46" s="10" customFormat="1" ht="15" customHeight="1" hidden="1">
      <c r="A86" s="218">
        <v>89</v>
      </c>
      <c r="B86" s="644"/>
      <c r="C86" s="648" t="s">
        <v>261</v>
      </c>
      <c r="D86" s="645"/>
      <c r="E86" s="645"/>
      <c r="F86" s="645"/>
      <c r="G86" s="645"/>
      <c r="H86" s="646"/>
      <c r="I86" s="647"/>
      <c r="J86" s="261" t="s">
        <v>156</v>
      </c>
      <c r="K86" s="68" t="s">
        <v>129</v>
      </c>
      <c r="L86" s="68" t="s">
        <v>79</v>
      </c>
      <c r="M86" s="68" t="s">
        <v>130</v>
      </c>
      <c r="N86" s="290">
        <v>40893</v>
      </c>
      <c r="O86" s="68" t="s">
        <v>13</v>
      </c>
      <c r="P86" s="350">
        <v>2</v>
      </c>
      <c r="Q86" s="274">
        <v>1</v>
      </c>
      <c r="R86" s="274">
        <v>4</v>
      </c>
      <c r="S86" s="661">
        <v>130</v>
      </c>
      <c r="T86" s="526">
        <v>12</v>
      </c>
      <c r="U86" s="661">
        <v>152</v>
      </c>
      <c r="V86" s="526">
        <v>14</v>
      </c>
      <c r="W86" s="661">
        <v>174</v>
      </c>
      <c r="X86" s="526">
        <v>16</v>
      </c>
      <c r="Y86" s="673">
        <f>SUM(S86+U86+W86)</f>
        <v>456</v>
      </c>
      <c r="Z86" s="674">
        <f>T86+V86+X86</f>
        <v>42</v>
      </c>
      <c r="AA86" s="376">
        <f>IF(Y86&lt;&gt;0,Z86/Q86,"")</f>
        <v>42</v>
      </c>
      <c r="AB86" s="377">
        <f>IF(Y86&lt;&gt;0,Y86/Z86,"")</f>
        <v>10.857142857142858</v>
      </c>
      <c r="AC86" s="275">
        <v>456</v>
      </c>
      <c r="AD86" s="379">
        <f>IF(AC86&lt;&gt;0,-(AC86-Y86)/AC86,"")</f>
        <v>0</v>
      </c>
      <c r="AE86" s="271">
        <f>AG86-Y86</f>
        <v>301</v>
      </c>
      <c r="AF86" s="267">
        <f>AH86-Z86</f>
        <v>30</v>
      </c>
      <c r="AG86" s="269">
        <v>757</v>
      </c>
      <c r="AH86" s="282">
        <v>72</v>
      </c>
      <c r="AI86" s="270">
        <f>Z86*1/AH86</f>
        <v>0.5833333333333334</v>
      </c>
      <c r="AJ86" s="270">
        <f>AF86*1/AH86</f>
        <v>0.4166666666666667</v>
      </c>
      <c r="AK86" s="267">
        <f>AH86/Q86</f>
        <v>72</v>
      </c>
      <c r="AL86" s="268">
        <f>AG86/AH86</f>
        <v>10.51388888888889</v>
      </c>
      <c r="AM86" s="269">
        <v>757</v>
      </c>
      <c r="AN86" s="270">
        <f>IF(AM86&lt;&gt;0,-(AM86-AG86)/AM86,"")</f>
        <v>0</v>
      </c>
      <c r="AO86" s="269">
        <v>10497</v>
      </c>
      <c r="AP86" s="282">
        <v>825</v>
      </c>
      <c r="AQ86" s="385">
        <f>AO86/AP86</f>
        <v>12.723636363636365</v>
      </c>
      <c r="AR86" s="285">
        <v>40914</v>
      </c>
      <c r="AS86" s="671" t="s">
        <v>357</v>
      </c>
      <c r="AT86" s="62"/>
    </row>
    <row r="87" spans="1:46" s="10" customFormat="1" ht="15" customHeight="1" hidden="1">
      <c r="A87" s="218">
        <v>90</v>
      </c>
      <c r="B87" s="654"/>
      <c r="C87" s="648" t="s">
        <v>261</v>
      </c>
      <c r="D87" s="655"/>
      <c r="E87" s="655"/>
      <c r="F87" s="645"/>
      <c r="G87" s="655"/>
      <c r="H87" s="646"/>
      <c r="I87" s="649" t="s">
        <v>54</v>
      </c>
      <c r="J87" s="243" t="s">
        <v>66</v>
      </c>
      <c r="K87" s="70" t="s">
        <v>81</v>
      </c>
      <c r="L87" s="70"/>
      <c r="M87" s="70" t="s">
        <v>66</v>
      </c>
      <c r="N87" s="290">
        <v>40844</v>
      </c>
      <c r="O87" s="68" t="s">
        <v>53</v>
      </c>
      <c r="P87" s="355">
        <v>245</v>
      </c>
      <c r="Q87" s="279">
        <v>1</v>
      </c>
      <c r="R87" s="279">
        <v>11</v>
      </c>
      <c r="S87" s="666">
        <v>14</v>
      </c>
      <c r="T87" s="667">
        <v>2</v>
      </c>
      <c r="U87" s="666">
        <v>195</v>
      </c>
      <c r="V87" s="667">
        <v>32</v>
      </c>
      <c r="W87" s="666">
        <v>142</v>
      </c>
      <c r="X87" s="667">
        <v>22</v>
      </c>
      <c r="Y87" s="675">
        <f>SUM(S87+U87+W87)</f>
        <v>351</v>
      </c>
      <c r="Z87" s="676">
        <f>T87+V87+X87</f>
        <v>56</v>
      </c>
      <c r="AA87" s="376">
        <f>IF(Y87&lt;&gt;0,Z87/Q87,"")</f>
        <v>56</v>
      </c>
      <c r="AB87" s="377">
        <f>IF(Y87&lt;&gt;0,Y87/Z87,"")</f>
        <v>6.267857142857143</v>
      </c>
      <c r="AC87" s="275">
        <v>351</v>
      </c>
      <c r="AD87" s="379">
        <f>IF(AC87&lt;&gt;0,-(AC87-Y87)/AC87,"")</f>
        <v>0</v>
      </c>
      <c r="AE87" s="271">
        <f>AG87-Y87</f>
        <v>222</v>
      </c>
      <c r="AF87" s="267">
        <f>AH87-Z87</f>
        <v>38</v>
      </c>
      <c r="AG87" s="269">
        <v>573</v>
      </c>
      <c r="AH87" s="282">
        <v>94</v>
      </c>
      <c r="AI87" s="270">
        <f>Z87*1/AH87</f>
        <v>0.5957446808510638</v>
      </c>
      <c r="AJ87" s="270">
        <f>AF87*1/AH87</f>
        <v>0.40425531914893614</v>
      </c>
      <c r="AK87" s="267">
        <f>AH87/Q87</f>
        <v>94</v>
      </c>
      <c r="AL87" s="268">
        <f>AG87/AH87</f>
        <v>6.095744680851064</v>
      </c>
      <c r="AM87" s="269">
        <v>573</v>
      </c>
      <c r="AN87" s="270">
        <f>IF(AM87&lt;&gt;0,-(AM87-AG87)/AM87,"")</f>
        <v>0</v>
      </c>
      <c r="AO87" s="269">
        <f>2095427.5+1865707+650031+295029.5+57559.5+69427+8354+22014.5+2923+1680+573</f>
        <v>5068726</v>
      </c>
      <c r="AP87" s="282">
        <f>212522+189875+68849+32548+6112+10910+1695+4739+564+262+94</f>
        <v>528170</v>
      </c>
      <c r="AQ87" s="385">
        <f>AO87/AP87</f>
        <v>9.596769979362705</v>
      </c>
      <c r="AR87" s="285">
        <v>40914</v>
      </c>
      <c r="AS87" s="671" t="s">
        <v>357</v>
      </c>
      <c r="AT87" s="62"/>
    </row>
    <row r="88" spans="1:46" s="10" customFormat="1" ht="15" customHeight="1" hidden="1">
      <c r="A88" s="218">
        <v>91</v>
      </c>
      <c r="B88" s="644"/>
      <c r="C88" s="648" t="s">
        <v>261</v>
      </c>
      <c r="D88" s="644"/>
      <c r="E88" s="646"/>
      <c r="F88" s="660">
        <v>2</v>
      </c>
      <c r="G88" s="646"/>
      <c r="H88" s="644"/>
      <c r="I88" s="646"/>
      <c r="J88" s="245" t="s">
        <v>352</v>
      </c>
      <c r="K88" s="65" t="s">
        <v>353</v>
      </c>
      <c r="L88" s="72" t="s">
        <v>94</v>
      </c>
      <c r="M88" s="72" t="s">
        <v>354</v>
      </c>
      <c r="N88" s="290">
        <v>40788</v>
      </c>
      <c r="O88" s="68" t="s">
        <v>12</v>
      </c>
      <c r="P88" s="350">
        <v>89</v>
      </c>
      <c r="Q88" s="274">
        <v>1</v>
      </c>
      <c r="R88" s="274">
        <v>19</v>
      </c>
      <c r="S88" s="280">
        <v>0</v>
      </c>
      <c r="T88" s="667">
        <v>0</v>
      </c>
      <c r="U88" s="666">
        <v>167</v>
      </c>
      <c r="V88" s="667">
        <v>27</v>
      </c>
      <c r="W88" s="666">
        <v>93</v>
      </c>
      <c r="X88" s="667">
        <v>15</v>
      </c>
      <c r="Y88" s="673">
        <f>SUM(S88+U88+W88)</f>
        <v>260</v>
      </c>
      <c r="Z88" s="674">
        <f>T88+V88+X88</f>
        <v>42</v>
      </c>
      <c r="AA88" s="376">
        <f>IF(Y88&lt;&gt;0,Z88/Q88,"")</f>
        <v>42</v>
      </c>
      <c r="AB88" s="377">
        <f>IF(Y88&lt;&gt;0,Y88/Z88,"")</f>
        <v>6.190476190476191</v>
      </c>
      <c r="AC88" s="275">
        <v>260</v>
      </c>
      <c r="AD88" s="379">
        <f>IF(AC88&lt;&gt;0,-(AC88-Y88)/AC88,"")</f>
        <v>0</v>
      </c>
      <c r="AE88" s="271">
        <f>AG88-Y88</f>
        <v>55</v>
      </c>
      <c r="AF88" s="267">
        <f>AH88-Z88</f>
        <v>9</v>
      </c>
      <c r="AG88" s="269">
        <v>315</v>
      </c>
      <c r="AH88" s="282">
        <v>51</v>
      </c>
      <c r="AI88" s="270">
        <f>Z88*1/AH88</f>
        <v>0.8235294117647058</v>
      </c>
      <c r="AJ88" s="270">
        <f>AF88*1/AH88</f>
        <v>0.17647058823529413</v>
      </c>
      <c r="AK88" s="267">
        <f>AH88/Q88</f>
        <v>51</v>
      </c>
      <c r="AL88" s="268">
        <f>AG88/AH88</f>
        <v>6.176470588235294</v>
      </c>
      <c r="AM88" s="269">
        <v>315</v>
      </c>
      <c r="AN88" s="270">
        <f>IF(AM88&lt;&gt;0,-(AM88-AG88)/AM88,"")</f>
        <v>0</v>
      </c>
      <c r="AO88" s="269">
        <v>2028322</v>
      </c>
      <c r="AP88" s="282">
        <v>203654</v>
      </c>
      <c r="AQ88" s="385">
        <f>AO88/AP88</f>
        <v>9.95964724483683</v>
      </c>
      <c r="AR88" s="285">
        <v>40914</v>
      </c>
      <c r="AS88" s="671" t="s">
        <v>357</v>
      </c>
      <c r="AT88" s="62"/>
    </row>
    <row r="89" spans="1:46" s="10" customFormat="1" ht="15" customHeight="1" hidden="1">
      <c r="A89" s="218">
        <v>100</v>
      </c>
      <c r="B89" s="644"/>
      <c r="C89" s="645"/>
      <c r="D89" s="645"/>
      <c r="E89" s="645"/>
      <c r="F89" s="645"/>
      <c r="G89" s="645"/>
      <c r="H89" s="646"/>
      <c r="I89" s="646"/>
      <c r="J89" s="261" t="s">
        <v>158</v>
      </c>
      <c r="K89" s="68" t="s">
        <v>162</v>
      </c>
      <c r="L89" s="68" t="s">
        <v>79</v>
      </c>
      <c r="M89" s="68" t="s">
        <v>161</v>
      </c>
      <c r="N89" s="291">
        <v>40907</v>
      </c>
      <c r="O89" s="68" t="s">
        <v>13</v>
      </c>
      <c r="P89" s="350">
        <v>1</v>
      </c>
      <c r="Q89" s="274">
        <v>1</v>
      </c>
      <c r="R89" s="274">
        <v>2</v>
      </c>
      <c r="S89" s="661">
        <v>64</v>
      </c>
      <c r="T89" s="526">
        <v>6</v>
      </c>
      <c r="U89" s="661">
        <v>86</v>
      </c>
      <c r="V89" s="526">
        <v>8</v>
      </c>
      <c r="W89" s="661">
        <v>94</v>
      </c>
      <c r="X89" s="526">
        <v>9</v>
      </c>
      <c r="Y89" s="675">
        <f>SUM(S89+U89+W89)</f>
        <v>244</v>
      </c>
      <c r="Z89" s="676">
        <f>T89+V89+X89</f>
        <v>23</v>
      </c>
      <c r="AA89" s="376">
        <f>IF(Y89&lt;&gt;0,Z89/Q89,"")</f>
        <v>23</v>
      </c>
      <c r="AB89" s="377">
        <f>IF(Y89&lt;&gt;0,Y89/Z89,"")</f>
        <v>10.608695652173912</v>
      </c>
      <c r="AC89" s="275">
        <v>244</v>
      </c>
      <c r="AD89" s="379">
        <f>IF(AC89&lt;&gt;0,-(AC89-Y89)/AC89,"")</f>
        <v>0</v>
      </c>
      <c r="AE89" s="271">
        <f>AG89-Y89</f>
        <v>98</v>
      </c>
      <c r="AF89" s="267">
        <f>AH89-Z89</f>
        <v>11</v>
      </c>
      <c r="AG89" s="269">
        <v>342</v>
      </c>
      <c r="AH89" s="282">
        <v>34</v>
      </c>
      <c r="AI89" s="270">
        <f>Z89*1/AH89</f>
        <v>0.6764705882352942</v>
      </c>
      <c r="AJ89" s="270">
        <f>AF89*1/AH89</f>
        <v>0.3235294117647059</v>
      </c>
      <c r="AK89" s="267">
        <f>AH89/Q89</f>
        <v>34</v>
      </c>
      <c r="AL89" s="268">
        <f>AG89/AH89</f>
        <v>10.058823529411764</v>
      </c>
      <c r="AM89" s="269">
        <v>342</v>
      </c>
      <c r="AN89" s="270">
        <f>IF(AM89&lt;&gt;0,-(AM89-AG89)/AM89,"")</f>
        <v>0</v>
      </c>
      <c r="AO89" s="269">
        <v>2721</v>
      </c>
      <c r="AP89" s="282">
        <v>289</v>
      </c>
      <c r="AQ89" s="385">
        <f>AO89/AP89</f>
        <v>9.415224913494809</v>
      </c>
      <c r="AR89" s="285">
        <v>40914</v>
      </c>
      <c r="AS89" s="671" t="s">
        <v>357</v>
      </c>
      <c r="AT89" s="62"/>
    </row>
    <row r="90" spans="1:46" s="10" customFormat="1" ht="15" customHeight="1" hidden="1">
      <c r="A90" s="218">
        <v>107</v>
      </c>
      <c r="B90" s="644"/>
      <c r="C90" s="648" t="s">
        <v>261</v>
      </c>
      <c r="D90" s="651"/>
      <c r="E90" s="645"/>
      <c r="F90" s="645"/>
      <c r="G90" s="645"/>
      <c r="H90" s="650" t="s">
        <v>55</v>
      </c>
      <c r="I90" s="646"/>
      <c r="J90" s="245" t="s">
        <v>198</v>
      </c>
      <c r="K90" s="65" t="s">
        <v>208</v>
      </c>
      <c r="L90" s="72" t="s">
        <v>94</v>
      </c>
      <c r="M90" s="72" t="s">
        <v>198</v>
      </c>
      <c r="N90" s="290">
        <v>40606</v>
      </c>
      <c r="O90" s="68" t="s">
        <v>12</v>
      </c>
      <c r="P90" s="350">
        <v>104</v>
      </c>
      <c r="Q90" s="274">
        <v>1</v>
      </c>
      <c r="R90" s="274">
        <v>45</v>
      </c>
      <c r="S90" s="280">
        <v>0</v>
      </c>
      <c r="T90" s="667">
        <v>0</v>
      </c>
      <c r="U90" s="666">
        <v>177</v>
      </c>
      <c r="V90" s="667">
        <v>35</v>
      </c>
      <c r="W90" s="666">
        <v>60</v>
      </c>
      <c r="X90" s="667">
        <v>12</v>
      </c>
      <c r="Y90" s="675">
        <f>SUM(S90+U90+W90)</f>
        <v>237</v>
      </c>
      <c r="Z90" s="676">
        <f>T90+V90+X90</f>
        <v>47</v>
      </c>
      <c r="AA90" s="376">
        <f>IF(Y90&lt;&gt;0,Z90/Q90,"")</f>
        <v>47</v>
      </c>
      <c r="AB90" s="377">
        <f>IF(Y90&lt;&gt;0,Y90/Z90,"")</f>
        <v>5.042553191489362</v>
      </c>
      <c r="AC90" s="275">
        <v>237</v>
      </c>
      <c r="AD90" s="379">
        <f>IF(AC90&lt;&gt;0,-(AC90-Y90)/AC90,"")</f>
        <v>0</v>
      </c>
      <c r="AE90" s="271">
        <f>AG90-Y90</f>
        <v>95</v>
      </c>
      <c r="AF90" s="267">
        <f>AH90-Z90</f>
        <v>19</v>
      </c>
      <c r="AG90" s="269">
        <v>332</v>
      </c>
      <c r="AH90" s="282">
        <v>66</v>
      </c>
      <c r="AI90" s="270">
        <f>Z90*1/AH90</f>
        <v>0.7121212121212122</v>
      </c>
      <c r="AJ90" s="270">
        <f>AF90*1/AH90</f>
        <v>0.2878787878787879</v>
      </c>
      <c r="AK90" s="267">
        <f>AH90/Q90</f>
        <v>66</v>
      </c>
      <c r="AL90" s="268">
        <f>AG90/AH90</f>
        <v>5.03030303030303</v>
      </c>
      <c r="AM90" s="269">
        <v>332</v>
      </c>
      <c r="AN90" s="270">
        <f>IF(AM90&lt;&gt;0,-(AM90-AG90)/AM90,"")</f>
        <v>0</v>
      </c>
      <c r="AO90" s="269">
        <v>1287534</v>
      </c>
      <c r="AP90" s="282">
        <v>133624</v>
      </c>
      <c r="AQ90" s="385">
        <f>AO90/AP90</f>
        <v>9.63549961084835</v>
      </c>
      <c r="AR90" s="285">
        <v>40914</v>
      </c>
      <c r="AS90" s="671" t="s">
        <v>357</v>
      </c>
      <c r="AT90" s="62"/>
    </row>
    <row r="91" spans="1:46" s="10" customFormat="1" ht="15" customHeight="1" hidden="1">
      <c r="A91" s="218">
        <v>1</v>
      </c>
      <c r="B91" s="644"/>
      <c r="C91" s="648" t="s">
        <v>261</v>
      </c>
      <c r="D91" s="657" t="s">
        <v>223</v>
      </c>
      <c r="E91" s="646"/>
      <c r="F91" s="660">
        <v>2</v>
      </c>
      <c r="G91" s="645"/>
      <c r="H91" s="645"/>
      <c r="I91" s="646"/>
      <c r="J91" s="245" t="s">
        <v>349</v>
      </c>
      <c r="K91" s="65" t="s">
        <v>91</v>
      </c>
      <c r="L91" s="72" t="s">
        <v>94</v>
      </c>
      <c r="M91" s="72" t="s">
        <v>349</v>
      </c>
      <c r="N91" s="290">
        <v>40648</v>
      </c>
      <c r="O91" s="68" t="s">
        <v>12</v>
      </c>
      <c r="P91" s="350">
        <v>151</v>
      </c>
      <c r="Q91" s="274">
        <v>1</v>
      </c>
      <c r="R91" s="274">
        <v>30</v>
      </c>
      <c r="S91" s="280">
        <v>75</v>
      </c>
      <c r="T91" s="667">
        <v>15</v>
      </c>
      <c r="U91" s="666">
        <v>60</v>
      </c>
      <c r="V91" s="667">
        <v>12</v>
      </c>
      <c r="W91" s="666">
        <v>25</v>
      </c>
      <c r="X91" s="667">
        <v>5</v>
      </c>
      <c r="Y91" s="673">
        <f>SUM(S91+U91+W91)</f>
        <v>160</v>
      </c>
      <c r="Z91" s="674">
        <f>T91+V91+X91</f>
        <v>32</v>
      </c>
      <c r="AA91" s="376">
        <f>IF(Y91&lt;&gt;0,Z91/Q91,"")</f>
        <v>32</v>
      </c>
      <c r="AB91" s="377">
        <f>IF(Y91&lt;&gt;0,Y91/Z91,"")</f>
        <v>5</v>
      </c>
      <c r="AC91" s="275">
        <v>160</v>
      </c>
      <c r="AD91" s="379">
        <f>IF(AC91&lt;&gt;0,-(AC91-Y91)/AC91,"")</f>
        <v>0</v>
      </c>
      <c r="AE91" s="271">
        <f>AG91-Y91</f>
        <v>455</v>
      </c>
      <c r="AF91" s="267">
        <f>AH91-Z91</f>
        <v>91</v>
      </c>
      <c r="AG91" s="269">
        <v>615</v>
      </c>
      <c r="AH91" s="282">
        <v>123</v>
      </c>
      <c r="AI91" s="270">
        <f>Z91*1/AH91</f>
        <v>0.2601626016260163</v>
      </c>
      <c r="AJ91" s="270">
        <f>AF91*1/AH91</f>
        <v>0.7398373983739838</v>
      </c>
      <c r="AK91" s="267">
        <f>AH91/Q91</f>
        <v>123</v>
      </c>
      <c r="AL91" s="268">
        <f>AG91/AH91</f>
        <v>5</v>
      </c>
      <c r="AM91" s="269">
        <v>615</v>
      </c>
      <c r="AN91" s="270">
        <f>IF(AM91&lt;&gt;0,-(AM91-AG91)/AM91,"")</f>
        <v>0</v>
      </c>
      <c r="AO91" s="269">
        <v>1956708</v>
      </c>
      <c r="AP91" s="282">
        <v>218938</v>
      </c>
      <c r="AQ91" s="385">
        <f>AO91/AP91</f>
        <v>8.93726991202989</v>
      </c>
      <c r="AR91" s="285">
        <v>40914</v>
      </c>
      <c r="AS91" s="671" t="s">
        <v>357</v>
      </c>
      <c r="AT91" s="62"/>
    </row>
    <row r="92" spans="1:46" s="10" customFormat="1" ht="15" customHeight="1" hidden="1">
      <c r="A92" s="218">
        <v>2</v>
      </c>
      <c r="B92" s="644"/>
      <c r="C92" s="648" t="s">
        <v>261</v>
      </c>
      <c r="D92" s="645"/>
      <c r="E92" s="645"/>
      <c r="F92" s="645"/>
      <c r="G92" s="645"/>
      <c r="H92" s="646"/>
      <c r="I92" s="646"/>
      <c r="J92" s="264" t="s">
        <v>335</v>
      </c>
      <c r="K92" s="68" t="s">
        <v>337</v>
      </c>
      <c r="L92" s="68" t="s">
        <v>79</v>
      </c>
      <c r="M92" s="68" t="s">
        <v>336</v>
      </c>
      <c r="N92" s="290">
        <v>40774</v>
      </c>
      <c r="O92" s="68" t="s">
        <v>13</v>
      </c>
      <c r="P92" s="351">
        <v>7</v>
      </c>
      <c r="Q92" s="274">
        <v>1</v>
      </c>
      <c r="R92" s="274">
        <v>17</v>
      </c>
      <c r="S92" s="661">
        <v>18</v>
      </c>
      <c r="T92" s="526">
        <v>3</v>
      </c>
      <c r="U92" s="661">
        <v>91</v>
      </c>
      <c r="V92" s="526">
        <v>15</v>
      </c>
      <c r="W92" s="661">
        <v>37</v>
      </c>
      <c r="X92" s="526">
        <v>6</v>
      </c>
      <c r="Y92" s="673">
        <f>SUM(S92+U92+W92)</f>
        <v>146</v>
      </c>
      <c r="Z92" s="674">
        <f>T92+V92+X92</f>
        <v>24</v>
      </c>
      <c r="AA92" s="376">
        <f>IF(Y92&lt;&gt;0,Z92/Q92,"")</f>
        <v>24</v>
      </c>
      <c r="AB92" s="377">
        <f>IF(Y92&lt;&gt;0,Y92/Z92,"")</f>
        <v>6.083333333333333</v>
      </c>
      <c r="AC92" s="275">
        <v>146</v>
      </c>
      <c r="AD92" s="379">
        <f>IF(AC92&lt;&gt;0,-(AC92-Y92)/AC92,"")</f>
        <v>0</v>
      </c>
      <c r="AE92" s="271">
        <f>AG92-Y92</f>
        <v>180</v>
      </c>
      <c r="AF92" s="267">
        <f>AH92-Z92</f>
        <v>30</v>
      </c>
      <c r="AG92" s="269">
        <v>326</v>
      </c>
      <c r="AH92" s="282">
        <v>54</v>
      </c>
      <c r="AI92" s="270">
        <f>Z92*1/AH92</f>
        <v>0.4444444444444444</v>
      </c>
      <c r="AJ92" s="270">
        <f>AF92*1/AH92</f>
        <v>0.5555555555555556</v>
      </c>
      <c r="AK92" s="267">
        <f>AH92/Q92</f>
        <v>54</v>
      </c>
      <c r="AL92" s="268">
        <f>AG92/AH92</f>
        <v>6.037037037037037</v>
      </c>
      <c r="AM92" s="269">
        <v>326</v>
      </c>
      <c r="AN92" s="270">
        <f>IF(AM92&lt;&gt;0,-(AM92-AG92)/AM92,"")</f>
        <v>0</v>
      </c>
      <c r="AO92" s="269">
        <v>139204</v>
      </c>
      <c r="AP92" s="282">
        <v>17398</v>
      </c>
      <c r="AQ92" s="385">
        <f>AO92/AP92</f>
        <v>8.001149557420392</v>
      </c>
      <c r="AR92" s="285">
        <v>40914</v>
      </c>
      <c r="AS92" s="671" t="s">
        <v>357</v>
      </c>
      <c r="AT92" s="62"/>
    </row>
    <row r="93" spans="1:46" s="10" customFormat="1" ht="15" customHeight="1" hidden="1">
      <c r="A93" s="218">
        <v>5</v>
      </c>
      <c r="B93" s="644"/>
      <c r="C93" s="645"/>
      <c r="D93" s="645"/>
      <c r="E93" s="645"/>
      <c r="F93" s="645"/>
      <c r="G93" s="645"/>
      <c r="H93" s="650" t="s">
        <v>55</v>
      </c>
      <c r="I93" s="646"/>
      <c r="J93" s="261" t="s">
        <v>157</v>
      </c>
      <c r="K93" s="68" t="s">
        <v>163</v>
      </c>
      <c r="L93" s="68" t="s">
        <v>128</v>
      </c>
      <c r="M93" s="68" t="s">
        <v>160</v>
      </c>
      <c r="N93" s="290">
        <v>40907</v>
      </c>
      <c r="O93" s="68" t="s">
        <v>13</v>
      </c>
      <c r="P93" s="350">
        <v>2</v>
      </c>
      <c r="Q93" s="274">
        <v>1</v>
      </c>
      <c r="R93" s="274">
        <v>2</v>
      </c>
      <c r="S93" s="661">
        <v>74</v>
      </c>
      <c r="T93" s="526">
        <v>7</v>
      </c>
      <c r="U93" s="661">
        <v>46</v>
      </c>
      <c r="V93" s="526">
        <v>4</v>
      </c>
      <c r="W93" s="661">
        <v>0</v>
      </c>
      <c r="X93" s="526">
        <v>0</v>
      </c>
      <c r="Y93" s="675">
        <f>SUM(S93+U93+W93)</f>
        <v>120</v>
      </c>
      <c r="Z93" s="676">
        <f>T93+V93+X93</f>
        <v>11</v>
      </c>
      <c r="AA93" s="376">
        <f>IF(Y93&lt;&gt;0,Z93/Q93,"")</f>
        <v>11</v>
      </c>
      <c r="AB93" s="377">
        <f>IF(Y93&lt;&gt;0,Y93/Z93,"")</f>
        <v>10.909090909090908</v>
      </c>
      <c r="AC93" s="275">
        <v>120</v>
      </c>
      <c r="AD93" s="379">
        <f>IF(AC93&lt;&gt;0,-(AC93-Y93)/AC93,"")</f>
        <v>0</v>
      </c>
      <c r="AE93" s="271">
        <f>AG93-Y93</f>
        <v>0</v>
      </c>
      <c r="AF93" s="267">
        <f>AH93-Z93</f>
        <v>0</v>
      </c>
      <c r="AG93" s="269">
        <v>120</v>
      </c>
      <c r="AH93" s="282">
        <v>11</v>
      </c>
      <c r="AI93" s="270">
        <f>Z93*1/AH93</f>
        <v>1</v>
      </c>
      <c r="AJ93" s="270">
        <f>AF93*1/AH93</f>
        <v>0</v>
      </c>
      <c r="AK93" s="267">
        <f>AH93/Q93</f>
        <v>11</v>
      </c>
      <c r="AL93" s="268">
        <f>AG93/AH93</f>
        <v>10.909090909090908</v>
      </c>
      <c r="AM93" s="269">
        <v>120</v>
      </c>
      <c r="AN93" s="270">
        <f>IF(AM93&lt;&gt;0,-(AM93-AG93)/AM93,"")</f>
        <v>0</v>
      </c>
      <c r="AO93" s="269">
        <v>2965</v>
      </c>
      <c r="AP93" s="282">
        <v>448</v>
      </c>
      <c r="AQ93" s="385">
        <f>AO93/AP93</f>
        <v>6.618303571428571</v>
      </c>
      <c r="AR93" s="285">
        <v>40914</v>
      </c>
      <c r="AS93" s="671" t="s">
        <v>357</v>
      </c>
      <c r="AT93" s="62"/>
    </row>
    <row r="94" spans="1:46" s="10" customFormat="1" ht="15" customHeight="1" hidden="1">
      <c r="A94" s="218">
        <v>20</v>
      </c>
      <c r="B94" s="644"/>
      <c r="C94" s="648" t="s">
        <v>261</v>
      </c>
      <c r="D94" s="645"/>
      <c r="E94" s="652">
        <v>3</v>
      </c>
      <c r="F94" s="645"/>
      <c r="G94" s="645"/>
      <c r="H94" s="646"/>
      <c r="I94" s="653"/>
      <c r="J94" s="254" t="s">
        <v>167</v>
      </c>
      <c r="K94" s="65" t="s">
        <v>170</v>
      </c>
      <c r="L94" s="71" t="s">
        <v>99</v>
      </c>
      <c r="M94" s="69" t="s">
        <v>169</v>
      </c>
      <c r="N94" s="291">
        <v>40872</v>
      </c>
      <c r="O94" s="68" t="s">
        <v>52</v>
      </c>
      <c r="P94" s="353">
        <v>21</v>
      </c>
      <c r="Q94" s="276">
        <v>1</v>
      </c>
      <c r="R94" s="276">
        <v>6</v>
      </c>
      <c r="S94" s="664">
        <v>14</v>
      </c>
      <c r="T94" s="665">
        <v>2</v>
      </c>
      <c r="U94" s="664">
        <v>0</v>
      </c>
      <c r="V94" s="665">
        <v>0</v>
      </c>
      <c r="W94" s="664">
        <v>84</v>
      </c>
      <c r="X94" s="665">
        <v>12</v>
      </c>
      <c r="Y94" s="673">
        <f>SUM(S94+U94+W94)</f>
        <v>98</v>
      </c>
      <c r="Z94" s="674">
        <f>T94+V94+X94</f>
        <v>14</v>
      </c>
      <c r="AA94" s="376">
        <f>IF(Y94&lt;&gt;0,Z94/Q94,"")</f>
        <v>14</v>
      </c>
      <c r="AB94" s="377">
        <f>IF(Y94&lt;&gt;0,Y94/Z94,"")</f>
        <v>7</v>
      </c>
      <c r="AC94" s="275">
        <v>98</v>
      </c>
      <c r="AD94" s="379">
        <f>IF(AC94&lt;&gt;0,-(AC94-Y94)/AC94,"")</f>
        <v>0</v>
      </c>
      <c r="AE94" s="271">
        <f>AG94-Y94</f>
        <v>146</v>
      </c>
      <c r="AF94" s="267">
        <f>AH94-Z94</f>
        <v>22</v>
      </c>
      <c r="AG94" s="345">
        <v>244</v>
      </c>
      <c r="AH94" s="357">
        <v>36</v>
      </c>
      <c r="AI94" s="270">
        <f>Z94*1/AH94</f>
        <v>0.3888888888888889</v>
      </c>
      <c r="AJ94" s="270">
        <f>AF94*1/AH94</f>
        <v>0.6111111111111112</v>
      </c>
      <c r="AK94" s="267">
        <f>AH94/Q94</f>
        <v>36</v>
      </c>
      <c r="AL94" s="268">
        <f>AG94/AH94</f>
        <v>6.777777777777778</v>
      </c>
      <c r="AM94" s="275">
        <v>244</v>
      </c>
      <c r="AN94" s="270">
        <f>IF(AM94&lt;&gt;0,-(AM94-AG94)/AM94,"")</f>
        <v>0</v>
      </c>
      <c r="AO94" s="345">
        <f>48871+740+512+11538+3616.5+244</f>
        <v>65521.5</v>
      </c>
      <c r="AP94" s="282">
        <f>5142+80+52+1109+459+36</f>
        <v>6878</v>
      </c>
      <c r="AQ94" s="385">
        <f>AO94/AP94</f>
        <v>9.526243093922652</v>
      </c>
      <c r="AR94" s="285">
        <v>40914</v>
      </c>
      <c r="AS94" s="671" t="s">
        <v>357</v>
      </c>
      <c r="AT94" s="62"/>
    </row>
    <row r="95" spans="1:46" s="10" customFormat="1" ht="15" customHeight="1" hidden="1">
      <c r="A95" s="218"/>
      <c r="B95" s="644"/>
      <c r="C95" s="648" t="s">
        <v>261</v>
      </c>
      <c r="D95" s="655"/>
      <c r="E95" s="655"/>
      <c r="F95" s="645"/>
      <c r="G95" s="655"/>
      <c r="H95" s="646"/>
      <c r="I95" s="646"/>
      <c r="J95" s="243" t="s">
        <v>355</v>
      </c>
      <c r="K95" s="70" t="s">
        <v>96</v>
      </c>
      <c r="L95" s="68" t="s">
        <v>95</v>
      </c>
      <c r="M95" s="70" t="s">
        <v>356</v>
      </c>
      <c r="N95" s="290">
        <v>40837</v>
      </c>
      <c r="O95" s="68" t="s">
        <v>10</v>
      </c>
      <c r="P95" s="353">
        <v>79</v>
      </c>
      <c r="Q95" s="276">
        <v>1</v>
      </c>
      <c r="R95" s="276">
        <v>10</v>
      </c>
      <c r="S95" s="662">
        <v>0</v>
      </c>
      <c r="T95" s="663">
        <v>0</v>
      </c>
      <c r="U95" s="662">
        <v>35</v>
      </c>
      <c r="V95" s="663">
        <v>5</v>
      </c>
      <c r="W95" s="662">
        <v>0</v>
      </c>
      <c r="X95" s="663">
        <v>0</v>
      </c>
      <c r="Y95" s="675">
        <f>SUM(S95+U95+W95)</f>
        <v>35</v>
      </c>
      <c r="Z95" s="676">
        <f>T95+V95+X95</f>
        <v>5</v>
      </c>
      <c r="AA95" s="376">
        <f>IF(Y95&lt;&gt;0,Z95/Q95,"")</f>
        <v>5</v>
      </c>
      <c r="AB95" s="377">
        <f>IF(Y95&lt;&gt;0,Y95/Z95,"")</f>
        <v>7</v>
      </c>
      <c r="AC95" s="275">
        <v>35</v>
      </c>
      <c r="AD95" s="379">
        <f>IF(AC95&lt;&gt;0,-(AC95-Y95)/AC95,"")</f>
        <v>0</v>
      </c>
      <c r="AE95" s="271">
        <f>AG95-Y95</f>
        <v>86</v>
      </c>
      <c r="AF95" s="267">
        <f>AH95-Z95</f>
        <v>13</v>
      </c>
      <c r="AG95" s="283">
        <v>121</v>
      </c>
      <c r="AH95" s="284">
        <v>18</v>
      </c>
      <c r="AI95" s="270">
        <f>Z95*1/AH95</f>
        <v>0.2777777777777778</v>
      </c>
      <c r="AJ95" s="270">
        <f>AF95*1/AH95</f>
        <v>0.7222222222222222</v>
      </c>
      <c r="AK95" s="267">
        <f>AH95/Q95</f>
        <v>18</v>
      </c>
      <c r="AL95" s="268">
        <f>AG95/AH95</f>
        <v>6.722222222222222</v>
      </c>
      <c r="AM95" s="272">
        <v>121</v>
      </c>
      <c r="AN95" s="270">
        <f>IF(AM95&lt;&gt;0,-(AM95-AG95)/AM95,"")</f>
        <v>0</v>
      </c>
      <c r="AO95" s="283">
        <v>1094365</v>
      </c>
      <c r="AP95" s="284">
        <v>100179</v>
      </c>
      <c r="AQ95" s="385">
        <f>AO95/AP95</f>
        <v>10.924095868395572</v>
      </c>
      <c r="AR95" s="285">
        <v>40914</v>
      </c>
      <c r="AS95" s="671" t="s">
        <v>357</v>
      </c>
      <c r="AT95" s="62"/>
    </row>
    <row r="96" spans="1:46" s="10" customFormat="1" ht="15" customHeight="1" hidden="1">
      <c r="A96" s="218">
        <v>23</v>
      </c>
      <c r="B96" s="644"/>
      <c r="C96" s="648" t="s">
        <v>261</v>
      </c>
      <c r="D96" s="645"/>
      <c r="E96" s="645"/>
      <c r="F96" s="645"/>
      <c r="G96" s="645"/>
      <c r="H96" s="646"/>
      <c r="I96" s="646"/>
      <c r="J96" s="264" t="s">
        <v>258</v>
      </c>
      <c r="K96" s="68" t="s">
        <v>259</v>
      </c>
      <c r="L96" s="68" t="s">
        <v>260</v>
      </c>
      <c r="M96" s="68" t="s">
        <v>239</v>
      </c>
      <c r="N96" s="290">
        <v>40725</v>
      </c>
      <c r="O96" s="68" t="s">
        <v>13</v>
      </c>
      <c r="P96" s="350">
        <v>3</v>
      </c>
      <c r="Q96" s="274">
        <v>1</v>
      </c>
      <c r="R96" s="274">
        <v>20</v>
      </c>
      <c r="S96" s="661">
        <v>0</v>
      </c>
      <c r="T96" s="526">
        <v>0</v>
      </c>
      <c r="U96" s="661">
        <v>0</v>
      </c>
      <c r="V96" s="526">
        <v>0</v>
      </c>
      <c r="W96" s="661">
        <v>0</v>
      </c>
      <c r="X96" s="526">
        <v>0</v>
      </c>
      <c r="Y96" s="675">
        <f>SUM(S96+U96+W96)</f>
        <v>0</v>
      </c>
      <c r="Z96" s="676">
        <f>T96+V96+X96</f>
        <v>0</v>
      </c>
      <c r="AA96" s="376">
        <f>IF(Y96&lt;&gt;0,Z96/Q96,"")</f>
      </c>
      <c r="AB96" s="377">
        <f>IF(Y96&lt;&gt;0,Y96/Z96,"")</f>
      </c>
      <c r="AC96" s="275">
        <v>0</v>
      </c>
      <c r="AD96" s="379">
        <f>IF(AC96&lt;&gt;0,-(AC96-Y96)/AC96,"")</f>
      </c>
      <c r="AE96" s="271">
        <f>AG96-Y96</f>
        <v>2970</v>
      </c>
      <c r="AF96" s="267">
        <f>AH96-Z96</f>
        <v>594</v>
      </c>
      <c r="AG96" s="269">
        <v>2970</v>
      </c>
      <c r="AH96" s="282">
        <v>594</v>
      </c>
      <c r="AI96" s="270">
        <f>Z96*1/AH96</f>
        <v>0</v>
      </c>
      <c r="AJ96" s="270">
        <f>AF96*1/AH96</f>
        <v>1</v>
      </c>
      <c r="AK96" s="267">
        <f>AH96/Q96</f>
        <v>594</v>
      </c>
      <c r="AL96" s="268">
        <f>AG96/AH96</f>
        <v>5</v>
      </c>
      <c r="AM96" s="269">
        <v>2970</v>
      </c>
      <c r="AN96" s="270">
        <f>IF(AM96&lt;&gt;0,-(AM96-AG96)/AM96,"")</f>
        <v>0</v>
      </c>
      <c r="AO96" s="269">
        <v>65729</v>
      </c>
      <c r="AP96" s="282">
        <v>8049</v>
      </c>
      <c r="AQ96" s="385">
        <f>AO96/AP96</f>
        <v>8.166107591005094</v>
      </c>
      <c r="AR96" s="285">
        <v>40914</v>
      </c>
      <c r="AS96" s="671" t="s">
        <v>357</v>
      </c>
      <c r="AT96" s="62"/>
    </row>
    <row r="97" spans="1:46" s="10" customFormat="1" ht="15" customHeight="1" hidden="1">
      <c r="A97" s="218">
        <v>34</v>
      </c>
      <c r="B97" s="644"/>
      <c r="C97" s="648" t="s">
        <v>261</v>
      </c>
      <c r="D97" s="645"/>
      <c r="E97" s="645"/>
      <c r="F97" s="645"/>
      <c r="G97" s="645"/>
      <c r="H97" s="646"/>
      <c r="I97" s="649" t="s">
        <v>54</v>
      </c>
      <c r="J97" s="248" t="s">
        <v>364</v>
      </c>
      <c r="K97" s="67" t="s">
        <v>377</v>
      </c>
      <c r="L97" s="69"/>
      <c r="M97" s="67" t="s">
        <v>364</v>
      </c>
      <c r="N97" s="290">
        <v>40795</v>
      </c>
      <c r="O97" s="68" t="s">
        <v>68</v>
      </c>
      <c r="P97" s="350">
        <v>3</v>
      </c>
      <c r="Q97" s="274">
        <v>1</v>
      </c>
      <c r="R97" s="274">
        <v>8</v>
      </c>
      <c r="S97" s="668"/>
      <c r="T97" s="669"/>
      <c r="U97" s="668"/>
      <c r="V97" s="669"/>
      <c r="W97" s="668"/>
      <c r="X97" s="669"/>
      <c r="Y97" s="673">
        <f>SUM(S97+U97+W97)</f>
        <v>0</v>
      </c>
      <c r="Z97" s="674">
        <f>T97+V97+X97</f>
        <v>0</v>
      </c>
      <c r="AA97" s="376">
        <f>IF(Y97&lt;&gt;0,Z97/Q97,"")</f>
      </c>
      <c r="AB97" s="377">
        <f>IF(Y97&lt;&gt;0,Y97/Z97,"")</f>
      </c>
      <c r="AC97" s="275">
        <v>0</v>
      </c>
      <c r="AD97" s="379">
        <f>IF(AC97&lt;&gt;0,-(AC97-Y97)/AC97,"")</f>
      </c>
      <c r="AE97" s="271">
        <f>AG97-Y97</f>
        <v>1782</v>
      </c>
      <c r="AF97" s="267">
        <f>AH97-Z97</f>
        <v>446</v>
      </c>
      <c r="AG97" s="272">
        <v>1782</v>
      </c>
      <c r="AH97" s="278">
        <v>446</v>
      </c>
      <c r="AI97" s="270">
        <f>Z97*1/AH97</f>
        <v>0</v>
      </c>
      <c r="AJ97" s="270">
        <f>AF97*1/AH97</f>
        <v>1</v>
      </c>
      <c r="AK97" s="267">
        <f>AH97/Q97</f>
        <v>446</v>
      </c>
      <c r="AL97" s="268">
        <f>AG97/AH97</f>
        <v>3.995515695067265</v>
      </c>
      <c r="AM97" s="272">
        <v>1782</v>
      </c>
      <c r="AN97" s="270">
        <f>IF(AM97&lt;&gt;0,-(AM97-AG97)/AM97,"")</f>
        <v>0</v>
      </c>
      <c r="AO97" s="272">
        <f>4125+2511+398+1048+854+482+594+1782</f>
        <v>11794</v>
      </c>
      <c r="AP97" s="278">
        <f>422+287+52+100+134+61+149+446</f>
        <v>1651</v>
      </c>
      <c r="AQ97" s="385">
        <f>AO97/AP97</f>
        <v>7.143549364021805</v>
      </c>
      <c r="AR97" s="285">
        <v>40914</v>
      </c>
      <c r="AS97" s="671" t="s">
        <v>357</v>
      </c>
      <c r="AT97" s="62"/>
    </row>
    <row r="98" spans="1:46" s="10" customFormat="1" ht="15" customHeight="1" hidden="1">
      <c r="A98" s="218">
        <v>44</v>
      </c>
      <c r="B98" s="644"/>
      <c r="C98" s="648" t="s">
        <v>261</v>
      </c>
      <c r="D98" s="657" t="s">
        <v>223</v>
      </c>
      <c r="E98" s="645"/>
      <c r="F98" s="656" t="s">
        <v>292</v>
      </c>
      <c r="G98" s="645"/>
      <c r="H98" s="650" t="s">
        <v>55</v>
      </c>
      <c r="I98" s="647"/>
      <c r="J98" s="248" t="s">
        <v>365</v>
      </c>
      <c r="K98" s="67" t="s">
        <v>126</v>
      </c>
      <c r="L98" s="69" t="s">
        <v>89</v>
      </c>
      <c r="M98" s="67" t="s">
        <v>372</v>
      </c>
      <c r="N98" s="290">
        <v>40172</v>
      </c>
      <c r="O98" s="68" t="s">
        <v>68</v>
      </c>
      <c r="P98" s="350">
        <v>60</v>
      </c>
      <c r="Q98" s="274">
        <v>1</v>
      </c>
      <c r="R98" s="274">
        <v>40</v>
      </c>
      <c r="S98" s="668"/>
      <c r="T98" s="669"/>
      <c r="U98" s="668"/>
      <c r="V98" s="669"/>
      <c r="W98" s="668"/>
      <c r="X98" s="669"/>
      <c r="Y98" s="675">
        <f>SUM(S98+U98+W98)</f>
        <v>0</v>
      </c>
      <c r="Z98" s="676">
        <f>T98+V98+X98</f>
        <v>0</v>
      </c>
      <c r="AA98" s="376">
        <f>IF(Y98&lt;&gt;0,Z98/Q98,"")</f>
      </c>
      <c r="AB98" s="377">
        <f>IF(Y98&lt;&gt;0,Y98/Z98,"")</f>
      </c>
      <c r="AC98" s="275">
        <v>0</v>
      </c>
      <c r="AD98" s="379">
        <f>IF(AC98&lt;&gt;0,-(AC98-Y98)/AC98,"")</f>
      </c>
      <c r="AE98" s="271">
        <f>AG98-Y98</f>
        <v>1425.5</v>
      </c>
      <c r="AF98" s="267">
        <f>AH98-Z98</f>
        <v>356</v>
      </c>
      <c r="AG98" s="272">
        <v>1425.5</v>
      </c>
      <c r="AH98" s="278">
        <v>356</v>
      </c>
      <c r="AI98" s="270">
        <f>Z98*1/AH98</f>
        <v>0</v>
      </c>
      <c r="AJ98" s="270">
        <f>AF98*1/AH98</f>
        <v>1</v>
      </c>
      <c r="AK98" s="267">
        <f>AH98/Q98</f>
        <v>356</v>
      </c>
      <c r="AL98" s="268">
        <f>AG98/AH98</f>
        <v>4.004213483146067</v>
      </c>
      <c r="AM98" s="272">
        <v>1425.5</v>
      </c>
      <c r="AN98" s="270">
        <f>IF(AM98&lt;&gt;0,-(AM98-AG98)/AM98,"")</f>
        <v>0</v>
      </c>
      <c r="AO98" s="272">
        <f>421775.5+397095.5+287050+215248.5+189819.5+180729.5+86816.5+23840+19148+14942.5+8798.5+9599+13618.5+4298+4028+3310+8547+6712.5+1803+1172+973+2291+380.5+3015+1103.5+65+2061.5+1262+1020+2232+2970+5074+2970+1188+250+200+70+4277+2138.5+1425.5</f>
        <v>1933318.5</v>
      </c>
      <c r="AP98" s="278">
        <f>43739+40732+31780+27356+25902+24895+12153+4496+3179+3069+1650+2236+3335+954+829+540+1945+1297+429+261+173+594+53+613+200+10+480+240+102+533+743+1267+742+297+28+20+7+1068+534+356</f>
        <v>238837</v>
      </c>
      <c r="AQ98" s="385">
        <f>AO98/AP98</f>
        <v>8.094719411146514</v>
      </c>
      <c r="AR98" s="285">
        <v>40914</v>
      </c>
      <c r="AS98" s="671" t="s">
        <v>357</v>
      </c>
      <c r="AT98" s="62"/>
    </row>
    <row r="99" spans="1:46" s="10" customFormat="1" ht="15" customHeight="1" hidden="1">
      <c r="A99" s="218">
        <v>45</v>
      </c>
      <c r="B99" s="644"/>
      <c r="C99" s="648" t="s">
        <v>261</v>
      </c>
      <c r="D99" s="657" t="s">
        <v>223</v>
      </c>
      <c r="E99" s="645"/>
      <c r="F99" s="656" t="s">
        <v>292</v>
      </c>
      <c r="G99" s="645"/>
      <c r="H99" s="650" t="s">
        <v>55</v>
      </c>
      <c r="I99" s="647"/>
      <c r="J99" s="248" t="s">
        <v>366</v>
      </c>
      <c r="K99" s="67" t="s">
        <v>370</v>
      </c>
      <c r="L99" s="69" t="s">
        <v>89</v>
      </c>
      <c r="M99" s="67" t="s">
        <v>369</v>
      </c>
      <c r="N99" s="290">
        <v>39829</v>
      </c>
      <c r="O99" s="68" t="s">
        <v>68</v>
      </c>
      <c r="P99" s="350">
        <v>65</v>
      </c>
      <c r="Q99" s="274">
        <v>1</v>
      </c>
      <c r="R99" s="274">
        <v>44</v>
      </c>
      <c r="S99" s="668"/>
      <c r="T99" s="669"/>
      <c r="U99" s="668"/>
      <c r="V99" s="669"/>
      <c r="W99" s="668"/>
      <c r="X99" s="669"/>
      <c r="Y99" s="673">
        <f>SUM(S99+U99+W99)</f>
        <v>0</v>
      </c>
      <c r="Z99" s="674">
        <f>T99+V99+X99</f>
        <v>0</v>
      </c>
      <c r="AA99" s="376">
        <f>IF(Y99&lt;&gt;0,Z99/Q99,"")</f>
      </c>
      <c r="AB99" s="377">
        <f>IF(Y99&lt;&gt;0,Y99/Z99,"")</f>
      </c>
      <c r="AC99" s="275">
        <v>0</v>
      </c>
      <c r="AD99" s="379">
        <f>IF(AC99&lt;&gt;0,-(AC99-Y99)/AC99,"")</f>
      </c>
      <c r="AE99" s="271">
        <f>AG99-Y99</f>
        <v>1424</v>
      </c>
      <c r="AF99" s="267">
        <f>AH99-Z99</f>
        <v>356</v>
      </c>
      <c r="AG99" s="272">
        <v>1424</v>
      </c>
      <c r="AH99" s="278">
        <v>356</v>
      </c>
      <c r="AI99" s="270">
        <f>Z99*1/AH99</f>
        <v>0</v>
      </c>
      <c r="AJ99" s="270">
        <f>AF99*1/AH99</f>
        <v>1</v>
      </c>
      <c r="AK99" s="267">
        <f>AH99/Q99</f>
        <v>356</v>
      </c>
      <c r="AL99" s="268">
        <f>AG99/AH99</f>
        <v>4</v>
      </c>
      <c r="AM99" s="272">
        <v>1424</v>
      </c>
      <c r="AN99" s="270">
        <f>IF(AM99&lt;&gt;0,-(AM99-AG99)/AM99,"")</f>
        <v>0</v>
      </c>
      <c r="AO99" s="272">
        <f>237023+244842+160469+47021+21536+18820+18020.5+26440+10695+9162.5+9870+6322+1787+2032+757+348+420.5+158+4053+339.5+3161.5+1729.5+752+1417+1780+64+1208+952+552+139.5+544+40+8072+1780+1424+1780+440+1780+1188+2612+952+712+4276+1424</f>
        <v>858895.5</v>
      </c>
      <c r="AP99" s="278">
        <f>25678+28966+21290+6590+4890+3520+3479+4786+1907+1716+2388+1533+368+541+126+70+67+48+991+81+743+414+155+169+445+16+302+238+117+23+48+12+2018+445+356+445+55+445+297+653+238+178+1069+356</f>
        <v>118272</v>
      </c>
      <c r="AQ99" s="385">
        <f>AO99/AP99</f>
        <v>7.262035815746753</v>
      </c>
      <c r="AR99" s="285">
        <v>40914</v>
      </c>
      <c r="AS99" s="671" t="s">
        <v>357</v>
      </c>
      <c r="AT99" s="341"/>
    </row>
    <row r="100" spans="1:45" s="10" customFormat="1" ht="15" customHeight="1" hidden="1">
      <c r="A100" s="218">
        <v>53</v>
      </c>
      <c r="B100" s="644"/>
      <c r="C100" s="648" t="s">
        <v>261</v>
      </c>
      <c r="D100" s="651"/>
      <c r="E100" s="652">
        <v>3</v>
      </c>
      <c r="F100" s="651"/>
      <c r="G100" s="645"/>
      <c r="H100" s="647"/>
      <c r="I100" s="646"/>
      <c r="J100" s="248" t="s">
        <v>274</v>
      </c>
      <c r="K100" s="65" t="s">
        <v>140</v>
      </c>
      <c r="L100" s="69" t="s">
        <v>85</v>
      </c>
      <c r="M100" s="67" t="s">
        <v>286</v>
      </c>
      <c r="N100" s="290">
        <v>40830</v>
      </c>
      <c r="O100" s="68" t="s">
        <v>68</v>
      </c>
      <c r="P100" s="350">
        <v>98</v>
      </c>
      <c r="Q100" s="274">
        <v>4</v>
      </c>
      <c r="R100" s="274">
        <v>12</v>
      </c>
      <c r="S100" s="668">
        <v>0</v>
      </c>
      <c r="T100" s="669">
        <v>0</v>
      </c>
      <c r="U100" s="668">
        <v>0</v>
      </c>
      <c r="V100" s="669">
        <v>0</v>
      </c>
      <c r="W100" s="668">
        <v>0</v>
      </c>
      <c r="X100" s="669">
        <v>0</v>
      </c>
      <c r="Y100" s="675">
        <f>SUM(S100+U100+W100)</f>
        <v>0</v>
      </c>
      <c r="Z100" s="676">
        <f>T100+V100+X100</f>
        <v>0</v>
      </c>
      <c r="AA100" s="376">
        <f>IF(Y100&lt;&gt;0,Z100/Q100,"")</f>
      </c>
      <c r="AB100" s="377">
        <f>IF(Y100&lt;&gt;0,Y100/Z100,"")</f>
      </c>
      <c r="AC100" s="275">
        <v>0</v>
      </c>
      <c r="AD100" s="379">
        <f>IF(AC100&lt;&gt;0,-(AC100-Y100)/AC100,"")</f>
      </c>
      <c r="AE100" s="271">
        <f>AG100-Y100</f>
        <v>488</v>
      </c>
      <c r="AF100" s="267">
        <f>AH100-Z100</f>
        <v>70</v>
      </c>
      <c r="AG100" s="272">
        <v>488</v>
      </c>
      <c r="AH100" s="278">
        <v>70</v>
      </c>
      <c r="AI100" s="270">
        <f>Z100*1/AH100</f>
        <v>0</v>
      </c>
      <c r="AJ100" s="270">
        <f>AF100*1/AH100</f>
        <v>1</v>
      </c>
      <c r="AK100" s="267">
        <f>AH100/Q100</f>
        <v>17.5</v>
      </c>
      <c r="AL100" s="268">
        <f>AG100/AH100</f>
        <v>6.9714285714285715</v>
      </c>
      <c r="AM100" s="272">
        <v>488</v>
      </c>
      <c r="AN100" s="270">
        <f>IF(AM100&lt;&gt;0,-(AM100-AG100)/AM100,"")</f>
        <v>0</v>
      </c>
      <c r="AO100" s="272">
        <f>573965.5+340647.5+298149+37925.5+16221+796+1713.5+3994+1930+1403+3582+6668.5+488</f>
        <v>1287483.5</v>
      </c>
      <c r="AP100" s="278">
        <f>50953+31140+27249+4634+2655+127+438+632+617+597+1015+1646+70</f>
        <v>121773</v>
      </c>
      <c r="AQ100" s="385">
        <f>AO100/AP100</f>
        <v>10.57281581302916</v>
      </c>
      <c r="AR100" s="285">
        <v>40914</v>
      </c>
      <c r="AS100" s="671" t="s">
        <v>357</v>
      </c>
    </row>
    <row r="101" spans="1:45" s="10" customFormat="1" ht="15" customHeight="1" hidden="1">
      <c r="A101" s="218">
        <v>54</v>
      </c>
      <c r="B101" s="644"/>
      <c r="C101" s="648" t="s">
        <v>261</v>
      </c>
      <c r="D101" s="645"/>
      <c r="E101" s="652">
        <v>3</v>
      </c>
      <c r="F101" s="651"/>
      <c r="G101" s="645"/>
      <c r="H101" s="646"/>
      <c r="I101" s="647"/>
      <c r="J101" s="248" t="s">
        <v>282</v>
      </c>
      <c r="K101" s="65" t="s">
        <v>281</v>
      </c>
      <c r="L101" s="69" t="s">
        <v>248</v>
      </c>
      <c r="M101" s="67" t="s">
        <v>280</v>
      </c>
      <c r="N101" s="290">
        <v>40767</v>
      </c>
      <c r="O101" s="68" t="s">
        <v>68</v>
      </c>
      <c r="P101" s="350">
        <v>39</v>
      </c>
      <c r="Q101" s="274">
        <v>1</v>
      </c>
      <c r="R101" s="274">
        <v>17</v>
      </c>
      <c r="S101" s="668">
        <v>0</v>
      </c>
      <c r="T101" s="669">
        <v>0</v>
      </c>
      <c r="U101" s="668">
        <v>0</v>
      </c>
      <c r="V101" s="669">
        <v>0</v>
      </c>
      <c r="W101" s="668">
        <v>0</v>
      </c>
      <c r="X101" s="669">
        <v>0</v>
      </c>
      <c r="Y101" s="673">
        <f>SUM(S101+U101+W101)</f>
        <v>0</v>
      </c>
      <c r="Z101" s="674">
        <f>T101+V101+X101</f>
        <v>0</v>
      </c>
      <c r="AA101" s="376">
        <f>IF(Y101&lt;&gt;0,Z101/Q101,"")</f>
      </c>
      <c r="AB101" s="377">
        <f>IF(Y101&lt;&gt;0,Y101/Z101,"")</f>
      </c>
      <c r="AC101" s="275">
        <v>0</v>
      </c>
      <c r="AD101" s="379">
        <f>IF(AC101&lt;&gt;0,-(AC101-Y101)/AC101,"")</f>
      </c>
      <c r="AE101" s="271">
        <f>AG101-Y101</f>
        <v>389.5</v>
      </c>
      <c r="AF101" s="267">
        <f>AH101-Z101</f>
        <v>56</v>
      </c>
      <c r="AG101" s="272">
        <v>389.5</v>
      </c>
      <c r="AH101" s="278">
        <v>56</v>
      </c>
      <c r="AI101" s="270">
        <f>Z101*1/AH101</f>
        <v>0</v>
      </c>
      <c r="AJ101" s="270">
        <f>AF101*1/AH101</f>
        <v>1</v>
      </c>
      <c r="AK101" s="267">
        <f>AH101/Q101</f>
        <v>56</v>
      </c>
      <c r="AL101" s="268">
        <f>AG101/AH101</f>
        <v>6.955357142857143</v>
      </c>
      <c r="AM101" s="272">
        <v>389.5</v>
      </c>
      <c r="AN101" s="270">
        <f>IF(AM101&lt;&gt;0,-(AM101-AG101)/AM101,"")</f>
        <v>0</v>
      </c>
      <c r="AO101" s="272">
        <f>227782+93706+36180+21819+14718.5+11547.5+9757.5+8598+8681+8538+4936.5+48+662+5495+26+1437+754.5+389.5</f>
        <v>455076</v>
      </c>
      <c r="AP101" s="278">
        <f>21125+9522+4298+2881+1947+1746+1401+1176+1202+1176+682+7+103+939+4+204+110+56</f>
        <v>48579</v>
      </c>
      <c r="AQ101" s="385">
        <f>AO101/AP101</f>
        <v>9.367751497560674</v>
      </c>
      <c r="AR101" s="285">
        <v>40914</v>
      </c>
      <c r="AS101" s="671" t="s">
        <v>357</v>
      </c>
    </row>
    <row r="102" spans="1:45" s="10" customFormat="1" ht="15" customHeight="1" hidden="1">
      <c r="A102" s="218">
        <v>56</v>
      </c>
      <c r="B102" s="644"/>
      <c r="C102" s="648" t="s">
        <v>261</v>
      </c>
      <c r="D102" s="645"/>
      <c r="E102" s="645"/>
      <c r="F102" s="645"/>
      <c r="G102" s="645"/>
      <c r="H102" s="646"/>
      <c r="I102" s="649" t="s">
        <v>54</v>
      </c>
      <c r="J102" s="248" t="s">
        <v>367</v>
      </c>
      <c r="K102" s="67" t="s">
        <v>378</v>
      </c>
      <c r="L102" s="67"/>
      <c r="M102" s="67" t="s">
        <v>367</v>
      </c>
      <c r="N102" s="290">
        <v>40648</v>
      </c>
      <c r="O102" s="68" t="s">
        <v>68</v>
      </c>
      <c r="P102" s="350">
        <v>28</v>
      </c>
      <c r="Q102" s="274">
        <v>1</v>
      </c>
      <c r="R102" s="274">
        <v>26</v>
      </c>
      <c r="S102" s="668"/>
      <c r="T102" s="669"/>
      <c r="U102" s="668"/>
      <c r="V102" s="669"/>
      <c r="W102" s="668"/>
      <c r="X102" s="669"/>
      <c r="Y102" s="675">
        <f>SUM(S102+U102+W102)</f>
        <v>0</v>
      </c>
      <c r="Z102" s="676">
        <f>T102+V102+X102</f>
        <v>0</v>
      </c>
      <c r="AA102" s="376">
        <f>IF(Y102&lt;&gt;0,Z102/Q102,"")</f>
      </c>
      <c r="AB102" s="377">
        <f>IF(Y102&lt;&gt;0,Y102/Z102,"")</f>
      </c>
      <c r="AC102" s="275">
        <v>0</v>
      </c>
      <c r="AD102" s="379">
        <f>IF(AC102&lt;&gt;0,-(AC102-Y102)/AC102,"")</f>
      </c>
      <c r="AE102" s="271">
        <f>AG102-Y102</f>
        <v>40</v>
      </c>
      <c r="AF102" s="267">
        <f>AH102-Z102</f>
        <v>8</v>
      </c>
      <c r="AG102" s="272">
        <v>40</v>
      </c>
      <c r="AH102" s="278">
        <v>8</v>
      </c>
      <c r="AI102" s="270">
        <f>Z102*1/AH102</f>
        <v>0</v>
      </c>
      <c r="AJ102" s="270">
        <f>AF102*1/AH102</f>
        <v>1</v>
      </c>
      <c r="AK102" s="267">
        <f>AH102/Q102</f>
        <v>8</v>
      </c>
      <c r="AL102" s="268">
        <f>AG102/AH102</f>
        <v>5</v>
      </c>
      <c r="AM102" s="272">
        <v>40</v>
      </c>
      <c r="AN102" s="270">
        <f>IF(AM102&lt;&gt;0,-(AM102-AG102)/AM102,"")</f>
        <v>0</v>
      </c>
      <c r="AO102" s="272">
        <f>67573+47761.5+14206.5+4949+3617+1080.5+492+714+1413.5+3743.5+735+1502.5+825+1147+1818+154+295+2263+179+160+3326.5+950.5+1782+1425.5+594+40</f>
        <v>162747.5</v>
      </c>
      <c r="AP102" s="278">
        <f>6695+4901+2068+559+504+215+178+122+205+836+119+235+131+174+400+22+45+527+35+28+831+237+446+356+149+8</f>
        <v>20026</v>
      </c>
      <c r="AQ102" s="385">
        <f>AO102/AP102</f>
        <v>8.126810146809149</v>
      </c>
      <c r="AR102" s="285">
        <v>40914</v>
      </c>
      <c r="AS102" s="671" t="s">
        <v>357</v>
      </c>
    </row>
    <row r="103" spans="1:45" s="10" customFormat="1" ht="15" customHeight="1" hidden="1">
      <c r="A103" s="218"/>
      <c r="B103" s="644"/>
      <c r="C103" s="648" t="s">
        <v>261</v>
      </c>
      <c r="D103" s="645"/>
      <c r="E103" s="645"/>
      <c r="F103" s="645"/>
      <c r="G103" s="645"/>
      <c r="H103" s="646"/>
      <c r="I103" s="647"/>
      <c r="J103" s="248" t="s">
        <v>368</v>
      </c>
      <c r="K103" s="67" t="s">
        <v>384</v>
      </c>
      <c r="L103" s="69" t="s">
        <v>128</v>
      </c>
      <c r="M103" s="67" t="s">
        <v>371</v>
      </c>
      <c r="N103" s="290">
        <v>40683</v>
      </c>
      <c r="O103" s="68" t="s">
        <v>68</v>
      </c>
      <c r="P103" s="350">
        <v>6</v>
      </c>
      <c r="Q103" s="274">
        <v>1</v>
      </c>
      <c r="R103" s="274">
        <v>20</v>
      </c>
      <c r="S103" s="668"/>
      <c r="T103" s="669"/>
      <c r="U103" s="668"/>
      <c r="V103" s="669"/>
      <c r="W103" s="668"/>
      <c r="X103" s="669"/>
      <c r="Y103" s="673">
        <f>SUM(S103+U103+W103)</f>
        <v>0</v>
      </c>
      <c r="Z103" s="674">
        <f>T103+V103+X103</f>
        <v>0</v>
      </c>
      <c r="AA103" s="376">
        <f>IF(Y103&lt;&gt;0,Z103/Q103,"")</f>
      </c>
      <c r="AB103" s="377">
        <f>IF(Y103&lt;&gt;0,Y103/Z103,"")</f>
      </c>
      <c r="AC103" s="275">
        <v>0</v>
      </c>
      <c r="AD103" s="379">
        <f>IF(AC103&lt;&gt;0,-(AC103-Y103)/AC103,"")</f>
      </c>
      <c r="AE103" s="271">
        <f>AG103-Y103</f>
        <v>25</v>
      </c>
      <c r="AF103" s="267">
        <f>AH103-Z103</f>
        <v>5</v>
      </c>
      <c r="AG103" s="272">
        <v>25</v>
      </c>
      <c r="AH103" s="278">
        <v>5</v>
      </c>
      <c r="AI103" s="270">
        <f>Z103*1/AH103</f>
        <v>0</v>
      </c>
      <c r="AJ103" s="270">
        <f>AF103*1/AH103</f>
        <v>1</v>
      </c>
      <c r="AK103" s="267">
        <f>AH103/Q103</f>
        <v>5</v>
      </c>
      <c r="AL103" s="268">
        <f>AG103/AH103</f>
        <v>5</v>
      </c>
      <c r="AM103" s="272">
        <v>25</v>
      </c>
      <c r="AN103" s="270">
        <f>IF(AM103&lt;&gt;0,-(AM103-AG103)/AM103,"")</f>
        <v>0</v>
      </c>
      <c r="AO103" s="272">
        <f>16905.5+10044+3710+2342+9911.5+7248+6024+1678+1960+374+2139+2655.5+2562+447+1328+1270+869+1782+475+25</f>
        <v>73749.5</v>
      </c>
      <c r="AP103" s="278">
        <f>1241+811+837+224+905+1125+738+283+277+57+267+346+338+61+166+189+146+446+119+5</f>
        <v>8581</v>
      </c>
      <c r="AQ103" s="385">
        <f>AO103/AP103</f>
        <v>8.594511129239017</v>
      </c>
      <c r="AR103" s="285">
        <v>40914</v>
      </c>
      <c r="AS103" s="671" t="s">
        <v>357</v>
      </c>
    </row>
    <row r="104" spans="1:46" s="10" customFormat="1" ht="15" customHeight="1" hidden="1">
      <c r="A104" s="218">
        <v>68</v>
      </c>
      <c r="B104" s="644"/>
      <c r="C104" s="648" t="s">
        <v>261</v>
      </c>
      <c r="D104" s="645"/>
      <c r="E104" s="645"/>
      <c r="F104" s="645"/>
      <c r="G104" s="645"/>
      <c r="H104" s="646"/>
      <c r="I104" s="647"/>
      <c r="J104" s="248" t="s">
        <v>380</v>
      </c>
      <c r="K104" s="67" t="s">
        <v>383</v>
      </c>
      <c r="L104" s="69" t="s">
        <v>128</v>
      </c>
      <c r="M104" s="67" t="s">
        <v>379</v>
      </c>
      <c r="N104" s="290">
        <v>40613</v>
      </c>
      <c r="O104" s="68" t="s">
        <v>68</v>
      </c>
      <c r="P104" s="350">
        <v>22</v>
      </c>
      <c r="Q104" s="274">
        <v>1</v>
      </c>
      <c r="R104" s="274">
        <v>18</v>
      </c>
      <c r="S104" s="668"/>
      <c r="T104" s="669"/>
      <c r="U104" s="668"/>
      <c r="V104" s="669"/>
      <c r="W104" s="668"/>
      <c r="X104" s="669"/>
      <c r="Y104" s="675">
        <f>SUM(S104+U104+W104)</f>
        <v>0</v>
      </c>
      <c r="Z104" s="676">
        <f>T104+V104+X104</f>
        <v>0</v>
      </c>
      <c r="AA104" s="376">
        <f>IF(Y104&lt;&gt;0,Z104/Q104,"")</f>
      </c>
      <c r="AB104" s="377">
        <f>IF(Y104&lt;&gt;0,Y104/Z104,"")</f>
      </c>
      <c r="AC104" s="275">
        <v>0</v>
      </c>
      <c r="AD104" s="379">
        <f>IF(AC104&lt;&gt;0,-(AC104-Y104)/AC104,"")</f>
      </c>
      <c r="AE104" s="271">
        <f>AG104-Y104</f>
        <v>5</v>
      </c>
      <c r="AF104" s="267">
        <f>AH104-Z104</f>
        <v>1</v>
      </c>
      <c r="AG104" s="272">
        <v>5</v>
      </c>
      <c r="AH104" s="278">
        <v>1</v>
      </c>
      <c r="AI104" s="270">
        <f>Z104*1/AH104</f>
        <v>0</v>
      </c>
      <c r="AJ104" s="270">
        <f>AF104*1/AH104</f>
        <v>1</v>
      </c>
      <c r="AK104" s="267">
        <f>AH104/Q104</f>
        <v>1</v>
      </c>
      <c r="AL104" s="268">
        <f>AG104/AH104</f>
        <v>5</v>
      </c>
      <c r="AM104" s="272">
        <v>5</v>
      </c>
      <c r="AN104" s="270">
        <f>IF(AM104&lt;&gt;0,-(AM104-AG104)/AM104,"")</f>
        <v>0</v>
      </c>
      <c r="AO104" s="272">
        <f>116753+45641.5+1507+3664+4533+723.5+456.5+2184+2545+520.5+610+1419+1872+2025.5+1249+6798+2626.5+5</f>
        <v>195133</v>
      </c>
      <c r="AP104" s="278">
        <f>8727+3759+162+393+667+140+67+296+333+73+92+210+173+255+140+905+299+1</f>
        <v>16692</v>
      </c>
      <c r="AQ104" s="385">
        <f>AO104/AP104</f>
        <v>11.690210879463216</v>
      </c>
      <c r="AR104" s="285">
        <v>40914</v>
      </c>
      <c r="AS104" s="671" t="s">
        <v>357</v>
      </c>
      <c r="AT104" s="344"/>
    </row>
    <row r="105" spans="1:46" s="10" customFormat="1" ht="15" customHeight="1" hidden="1">
      <c r="A105" s="218">
        <v>72</v>
      </c>
      <c r="B105" s="644"/>
      <c r="C105" s="648" t="s">
        <v>261</v>
      </c>
      <c r="D105" s="645"/>
      <c r="E105" s="651"/>
      <c r="F105" s="645"/>
      <c r="G105" s="645"/>
      <c r="H105" s="646"/>
      <c r="I105" s="646"/>
      <c r="J105" s="248" t="s">
        <v>190</v>
      </c>
      <c r="K105" s="67" t="s">
        <v>195</v>
      </c>
      <c r="L105" s="69" t="s">
        <v>79</v>
      </c>
      <c r="M105" s="67" t="s">
        <v>192</v>
      </c>
      <c r="N105" s="290">
        <v>40816</v>
      </c>
      <c r="O105" s="68" t="s">
        <v>68</v>
      </c>
      <c r="P105" s="350">
        <v>25</v>
      </c>
      <c r="Q105" s="274">
        <v>13</v>
      </c>
      <c r="R105" s="274">
        <v>3</v>
      </c>
      <c r="S105" s="277">
        <v>450</v>
      </c>
      <c r="T105" s="669">
        <v>75</v>
      </c>
      <c r="U105" s="668">
        <v>582</v>
      </c>
      <c r="V105" s="669">
        <v>97</v>
      </c>
      <c r="W105" s="668">
        <v>618</v>
      </c>
      <c r="X105" s="669">
        <v>103</v>
      </c>
      <c r="Y105" s="675">
        <f>SUM(S105+U105+W105)</f>
        <v>1650</v>
      </c>
      <c r="Z105" s="676">
        <f>T105+V105+X105</f>
        <v>275</v>
      </c>
      <c r="AA105" s="376">
        <f>IF(Y105&lt;&gt;0,Z105/Q105,"")</f>
        <v>21.153846153846153</v>
      </c>
      <c r="AB105" s="377">
        <f>IF(Y105&lt;&gt;0,Y105/Z105,"")</f>
        <v>6</v>
      </c>
      <c r="AC105" s="275">
        <v>1650</v>
      </c>
      <c r="AD105" s="379">
        <f>IF(AC105&lt;&gt;0,-(AC105-Y105)/AC105,"")</f>
        <v>0</v>
      </c>
      <c r="AE105" s="271">
        <f>AG105-Y105</f>
        <v>1670</v>
      </c>
      <c r="AF105" s="267">
        <f>AH105-Z105</f>
        <v>290</v>
      </c>
      <c r="AG105" s="272">
        <v>3320</v>
      </c>
      <c r="AH105" s="278">
        <v>565</v>
      </c>
      <c r="AI105" s="270">
        <f>Z105*1/AH105</f>
        <v>0.48672566371681414</v>
      </c>
      <c r="AJ105" s="270">
        <f>AF105*1/AH105</f>
        <v>0.5132743362831859</v>
      </c>
      <c r="AK105" s="267">
        <f>AH105/Q105</f>
        <v>43.46153846153846</v>
      </c>
      <c r="AL105" s="268">
        <f>AG105/AH105</f>
        <v>5.876106194690266</v>
      </c>
      <c r="AM105" s="272">
        <v>3320</v>
      </c>
      <c r="AN105" s="270">
        <f>IF(AM105&lt;&gt;0,-(AM105-AG105)/AM105,"")</f>
        <v>0</v>
      </c>
      <c r="AO105" s="272">
        <f>80510.5+53296+49611.5+29276.5+2781+46429+5648+1635+6908.5+15320.5+732+943+3320</f>
        <v>296411.5</v>
      </c>
      <c r="AP105" s="278">
        <f>8978+6079+6067+4144+482+6937+761+224+842+1960+107+134+565</f>
        <v>37280</v>
      </c>
      <c r="AQ105" s="385">
        <f>AO105/AP105</f>
        <v>7.950952253218884</v>
      </c>
      <c r="AR105" s="285">
        <v>40907</v>
      </c>
      <c r="AS105" s="671" t="s">
        <v>357</v>
      </c>
      <c r="AT105" s="344"/>
    </row>
    <row r="106" spans="1:46" s="10" customFormat="1" ht="15" customHeight="1" hidden="1">
      <c r="A106" s="218">
        <v>73</v>
      </c>
      <c r="B106" s="654"/>
      <c r="C106" s="648" t="s">
        <v>261</v>
      </c>
      <c r="D106" s="657" t="s">
        <v>223</v>
      </c>
      <c r="E106" s="652">
        <v>3</v>
      </c>
      <c r="F106" s="645"/>
      <c r="G106" s="645"/>
      <c r="H106" s="650" t="s">
        <v>55</v>
      </c>
      <c r="I106" s="653"/>
      <c r="J106" s="243" t="s">
        <v>174</v>
      </c>
      <c r="K106" s="70" t="s">
        <v>185</v>
      </c>
      <c r="L106" s="70" t="s">
        <v>186</v>
      </c>
      <c r="M106" s="70" t="s">
        <v>177</v>
      </c>
      <c r="N106" s="290">
        <v>39710</v>
      </c>
      <c r="O106" s="68" t="s">
        <v>53</v>
      </c>
      <c r="P106" s="356">
        <v>66</v>
      </c>
      <c r="Q106" s="279">
        <v>1</v>
      </c>
      <c r="R106" s="279">
        <v>29</v>
      </c>
      <c r="S106" s="666">
        <v>576</v>
      </c>
      <c r="T106" s="667">
        <v>115</v>
      </c>
      <c r="U106" s="666">
        <v>625</v>
      </c>
      <c r="V106" s="667">
        <v>125</v>
      </c>
      <c r="W106" s="666">
        <v>0</v>
      </c>
      <c r="X106" s="667">
        <v>0</v>
      </c>
      <c r="Y106" s="675">
        <f>SUM(S106+U106+W106)</f>
        <v>1201</v>
      </c>
      <c r="Z106" s="676">
        <f>T106+V106+X106</f>
        <v>240</v>
      </c>
      <c r="AA106" s="376">
        <f>IF(Y106&lt;&gt;0,Z106/Q106,"")</f>
        <v>240</v>
      </c>
      <c r="AB106" s="377">
        <f>IF(Y106&lt;&gt;0,Y106/Z106,"")</f>
        <v>5.004166666666666</v>
      </c>
      <c r="AC106" s="275">
        <v>1201</v>
      </c>
      <c r="AD106" s="379">
        <f>IF(AC106&lt;&gt;0,-(AC106-Y106)/AC106,"")</f>
        <v>0</v>
      </c>
      <c r="AE106" s="271">
        <f>AG106-Y106</f>
        <v>0</v>
      </c>
      <c r="AF106" s="267">
        <f>AH106-Z106</f>
        <v>0</v>
      </c>
      <c r="AG106" s="269">
        <v>1201</v>
      </c>
      <c r="AH106" s="282">
        <v>240</v>
      </c>
      <c r="AI106" s="270">
        <f>Z106*1/AH106</f>
        <v>1</v>
      </c>
      <c r="AJ106" s="270">
        <f>AF106*1/AH106</f>
        <v>0</v>
      </c>
      <c r="AK106" s="267">
        <f>AH106/Q106</f>
        <v>240</v>
      </c>
      <c r="AL106" s="268">
        <f>AG106/AH106</f>
        <v>5.004166666666666</v>
      </c>
      <c r="AM106" s="269">
        <v>1201</v>
      </c>
      <c r="AN106" s="270">
        <f>IF(AM106&lt;&gt;0,-(AM106-AG106)/AM106,"")</f>
        <v>0</v>
      </c>
      <c r="AO106" s="269">
        <f>152576+127511+68854.5+21974+10111.5+7103+7290+0.5+1014+3149+989+3524+0.5+3768+138+2528+257+351.5+573.5+184+3655+10+15+10+210+156+3603+3603+1922+1201</f>
        <v>426282</v>
      </c>
      <c r="AP106" s="282">
        <f>50018+825+47+65+137+67+1215+2+3+2+35+26+721+720+384+240</f>
        <v>54507</v>
      </c>
      <c r="AQ106" s="385">
        <f>AO106/AP106</f>
        <v>7.820683581925257</v>
      </c>
      <c r="AR106" s="285">
        <v>40907</v>
      </c>
      <c r="AS106" s="671" t="s">
        <v>357</v>
      </c>
      <c r="AT106" s="344"/>
    </row>
    <row r="107" spans="1:46" s="10" customFormat="1" ht="15" customHeight="1" hidden="1">
      <c r="A107" s="218">
        <v>75</v>
      </c>
      <c r="B107" s="644"/>
      <c r="C107" s="648" t="s">
        <v>261</v>
      </c>
      <c r="D107" s="645"/>
      <c r="E107" s="652">
        <v>3</v>
      </c>
      <c r="F107" s="645"/>
      <c r="G107" s="645"/>
      <c r="H107" s="646"/>
      <c r="I107" s="646"/>
      <c r="J107" s="245" t="s">
        <v>202</v>
      </c>
      <c r="K107" s="65" t="s">
        <v>210</v>
      </c>
      <c r="L107" s="72" t="s">
        <v>211</v>
      </c>
      <c r="M107" s="72" t="s">
        <v>202</v>
      </c>
      <c r="N107" s="290">
        <v>40837</v>
      </c>
      <c r="O107" s="68" t="s">
        <v>12</v>
      </c>
      <c r="P107" s="350">
        <v>130</v>
      </c>
      <c r="Q107" s="274">
        <v>1</v>
      </c>
      <c r="R107" s="274">
        <v>10</v>
      </c>
      <c r="S107" s="280">
        <v>91</v>
      </c>
      <c r="T107" s="667">
        <v>13</v>
      </c>
      <c r="U107" s="666">
        <v>175</v>
      </c>
      <c r="V107" s="667">
        <v>25</v>
      </c>
      <c r="W107" s="666">
        <v>294</v>
      </c>
      <c r="X107" s="667">
        <v>42</v>
      </c>
      <c r="Y107" s="675">
        <f>SUM(S107+U107+W107)</f>
        <v>560</v>
      </c>
      <c r="Z107" s="676">
        <f>T107+V107+X107</f>
        <v>80</v>
      </c>
      <c r="AA107" s="376">
        <f>IF(Y107&lt;&gt;0,Z107/Q107,"")</f>
        <v>80</v>
      </c>
      <c r="AB107" s="377">
        <f>IF(Y107&lt;&gt;0,Y107/Z107,"")</f>
        <v>7</v>
      </c>
      <c r="AC107" s="275">
        <v>560</v>
      </c>
      <c r="AD107" s="379">
        <f>IF(AC107&lt;&gt;0,-(AC107-Y107)/AC107,"")</f>
        <v>0</v>
      </c>
      <c r="AE107" s="271">
        <f>AG107-Y107</f>
        <v>423</v>
      </c>
      <c r="AF107" s="267">
        <f>AH107-Z107</f>
        <v>61</v>
      </c>
      <c r="AG107" s="269">
        <v>983</v>
      </c>
      <c r="AH107" s="282">
        <v>141</v>
      </c>
      <c r="AI107" s="270">
        <f>Z107*1/AH107</f>
        <v>0.5673758865248227</v>
      </c>
      <c r="AJ107" s="270">
        <f>AF107*1/AH107</f>
        <v>0.4326241134751773</v>
      </c>
      <c r="AK107" s="267">
        <f>AH107/Q107</f>
        <v>141</v>
      </c>
      <c r="AL107" s="268">
        <f>AG107/AH107</f>
        <v>6.971631205673759</v>
      </c>
      <c r="AM107" s="269">
        <v>983</v>
      </c>
      <c r="AN107" s="270">
        <f>IF(AM107&lt;&gt;0,-(AM107-AG107)/AM107,"")</f>
        <v>0</v>
      </c>
      <c r="AO107" s="269">
        <v>893705</v>
      </c>
      <c r="AP107" s="282">
        <v>90187</v>
      </c>
      <c r="AQ107" s="385">
        <f>AO107/AP107</f>
        <v>9.909465887544767</v>
      </c>
      <c r="AR107" s="285">
        <v>40907</v>
      </c>
      <c r="AS107" s="671" t="s">
        <v>357</v>
      </c>
      <c r="AT107" s="344"/>
    </row>
    <row r="108" spans="1:46" s="10" customFormat="1" ht="15" customHeight="1" hidden="1">
      <c r="A108" s="218">
        <v>80</v>
      </c>
      <c r="B108" s="654"/>
      <c r="C108" s="648" t="s">
        <v>261</v>
      </c>
      <c r="D108" s="657" t="s">
        <v>223</v>
      </c>
      <c r="E108" s="655"/>
      <c r="F108" s="645"/>
      <c r="G108" s="655"/>
      <c r="H108" s="646"/>
      <c r="I108" s="653"/>
      <c r="J108" s="243" t="s">
        <v>176</v>
      </c>
      <c r="K108" s="70" t="s">
        <v>179</v>
      </c>
      <c r="L108" s="65" t="s">
        <v>138</v>
      </c>
      <c r="M108" s="70" t="s">
        <v>180</v>
      </c>
      <c r="N108" s="290">
        <v>40837</v>
      </c>
      <c r="O108" s="68" t="s">
        <v>53</v>
      </c>
      <c r="P108" s="356">
        <v>33</v>
      </c>
      <c r="Q108" s="279">
        <v>1</v>
      </c>
      <c r="R108" s="279">
        <v>5</v>
      </c>
      <c r="S108" s="666">
        <v>0</v>
      </c>
      <c r="T108" s="667">
        <v>0</v>
      </c>
      <c r="U108" s="666">
        <v>153</v>
      </c>
      <c r="V108" s="667">
        <v>15</v>
      </c>
      <c r="W108" s="666">
        <v>358</v>
      </c>
      <c r="X108" s="667">
        <v>35</v>
      </c>
      <c r="Y108" s="675">
        <f>SUM(S108+U108+W108)</f>
        <v>511</v>
      </c>
      <c r="Z108" s="676">
        <f>T108+V108+X108</f>
        <v>50</v>
      </c>
      <c r="AA108" s="376">
        <f>IF(Y108&lt;&gt;0,Z108/Q108,"")</f>
        <v>50</v>
      </c>
      <c r="AB108" s="377">
        <f>IF(Y108&lt;&gt;0,Y108/Z108,"")</f>
        <v>10.22</v>
      </c>
      <c r="AC108" s="275">
        <v>511</v>
      </c>
      <c r="AD108" s="379">
        <f>IF(AC108&lt;&gt;0,-(AC108-Y108)/AC108,"")</f>
        <v>0</v>
      </c>
      <c r="AE108" s="271">
        <f>AG108-Y108</f>
        <v>0</v>
      </c>
      <c r="AF108" s="267">
        <f>AH108-Z108</f>
        <v>0</v>
      </c>
      <c r="AG108" s="269">
        <v>511</v>
      </c>
      <c r="AH108" s="282">
        <v>50</v>
      </c>
      <c r="AI108" s="270">
        <f>Z108*1/AH108</f>
        <v>1</v>
      </c>
      <c r="AJ108" s="270">
        <f>AF108*1/AH108</f>
        <v>0</v>
      </c>
      <c r="AK108" s="267">
        <f>AH108/Q108</f>
        <v>50</v>
      </c>
      <c r="AL108" s="268">
        <f>AG108/AH108</f>
        <v>10.22</v>
      </c>
      <c r="AM108" s="269">
        <v>511</v>
      </c>
      <c r="AN108" s="270">
        <f>IF(AM108&lt;&gt;0,-(AM108-AG108)/AM108,"")</f>
        <v>0</v>
      </c>
      <c r="AO108" s="280">
        <v>307870</v>
      </c>
      <c r="AP108" s="281">
        <v>23173</v>
      </c>
      <c r="AQ108" s="385">
        <f>AO108/AP108</f>
        <v>13.285720450524318</v>
      </c>
      <c r="AR108" s="285">
        <v>40907</v>
      </c>
      <c r="AS108" s="671" t="s">
        <v>357</v>
      </c>
      <c r="AT108" s="344"/>
    </row>
    <row r="109" spans="1:46" s="10" customFormat="1" ht="15" customHeight="1" hidden="1">
      <c r="A109" s="218">
        <v>83</v>
      </c>
      <c r="B109" s="644"/>
      <c r="C109" s="648" t="s">
        <v>261</v>
      </c>
      <c r="D109" s="657" t="s">
        <v>223</v>
      </c>
      <c r="E109" s="645"/>
      <c r="F109" s="645"/>
      <c r="G109" s="645"/>
      <c r="H109" s="650" t="s">
        <v>55</v>
      </c>
      <c r="I109" s="647"/>
      <c r="J109" s="261" t="s">
        <v>152</v>
      </c>
      <c r="K109" s="65" t="s">
        <v>217</v>
      </c>
      <c r="L109" s="66" t="s">
        <v>94</v>
      </c>
      <c r="M109" s="68" t="s">
        <v>152</v>
      </c>
      <c r="N109" s="290">
        <v>40676</v>
      </c>
      <c r="O109" s="68" t="s">
        <v>12</v>
      </c>
      <c r="P109" s="350">
        <v>100</v>
      </c>
      <c r="Q109" s="274">
        <v>1</v>
      </c>
      <c r="R109" s="274">
        <v>34</v>
      </c>
      <c r="S109" s="666">
        <v>0</v>
      </c>
      <c r="T109" s="667">
        <v>0</v>
      </c>
      <c r="U109" s="666">
        <v>154</v>
      </c>
      <c r="V109" s="667">
        <v>19</v>
      </c>
      <c r="W109" s="666">
        <v>170</v>
      </c>
      <c r="X109" s="667">
        <v>21</v>
      </c>
      <c r="Y109" s="675">
        <f>SUM(S109+U109+W109)</f>
        <v>324</v>
      </c>
      <c r="Z109" s="676">
        <f>T109+V109+X109</f>
        <v>40</v>
      </c>
      <c r="AA109" s="376">
        <f>IF(Y109&lt;&gt;0,Z109/Q109,"")</f>
        <v>40</v>
      </c>
      <c r="AB109" s="377">
        <f>IF(Y109&lt;&gt;0,Y109/Z109,"")</f>
        <v>8.1</v>
      </c>
      <c r="AC109" s="275">
        <v>324</v>
      </c>
      <c r="AD109" s="379">
        <f>IF(AC109&lt;&gt;0,-(AC109-Y109)/AC109,"")</f>
        <v>0</v>
      </c>
      <c r="AE109" s="271">
        <f>AG109-Y109</f>
        <v>48</v>
      </c>
      <c r="AF109" s="267">
        <f>AH109-Z109</f>
        <v>6</v>
      </c>
      <c r="AG109" s="269">
        <v>372</v>
      </c>
      <c r="AH109" s="282">
        <v>46</v>
      </c>
      <c r="AI109" s="270">
        <f>Z109*1/AH109</f>
        <v>0.8695652173913043</v>
      </c>
      <c r="AJ109" s="270">
        <f>AF109*1/AH109</f>
        <v>0.13043478260869565</v>
      </c>
      <c r="AK109" s="267">
        <f>AH109/Q109</f>
        <v>46</v>
      </c>
      <c r="AL109" s="268">
        <f>AG109/AH109</f>
        <v>8.08695652173913</v>
      </c>
      <c r="AM109" s="269">
        <v>372</v>
      </c>
      <c r="AN109" s="270">
        <f>IF(AM109&lt;&gt;0,-(AM109-AG109)/AM109,"")</f>
        <v>0</v>
      </c>
      <c r="AO109" s="269">
        <v>1184752</v>
      </c>
      <c r="AP109" s="282">
        <v>129821</v>
      </c>
      <c r="AQ109" s="385">
        <f>AO109/AP109</f>
        <v>9.126042781984424</v>
      </c>
      <c r="AR109" s="285">
        <v>40907</v>
      </c>
      <c r="AS109" s="671" t="s">
        <v>357</v>
      </c>
      <c r="AT109" s="62"/>
    </row>
    <row r="110" spans="1:46" s="10" customFormat="1" ht="15" customHeight="1" hidden="1">
      <c r="A110" s="218">
        <v>99</v>
      </c>
      <c r="B110" s="644"/>
      <c r="C110" s="648" t="s">
        <v>261</v>
      </c>
      <c r="D110" s="657" t="s">
        <v>223</v>
      </c>
      <c r="E110" s="645"/>
      <c r="F110" s="645"/>
      <c r="G110" s="645"/>
      <c r="H110" s="650" t="s">
        <v>55</v>
      </c>
      <c r="I110" s="644"/>
      <c r="J110" s="245" t="s">
        <v>199</v>
      </c>
      <c r="K110" s="65" t="s">
        <v>207</v>
      </c>
      <c r="L110" s="72" t="s">
        <v>94</v>
      </c>
      <c r="M110" s="72" t="s">
        <v>199</v>
      </c>
      <c r="N110" s="291">
        <v>40648</v>
      </c>
      <c r="O110" s="68" t="s">
        <v>12</v>
      </c>
      <c r="P110" s="350">
        <v>76</v>
      </c>
      <c r="Q110" s="274">
        <v>1</v>
      </c>
      <c r="R110" s="274">
        <v>38</v>
      </c>
      <c r="S110" s="280">
        <v>0</v>
      </c>
      <c r="T110" s="667">
        <v>0</v>
      </c>
      <c r="U110" s="666">
        <v>82</v>
      </c>
      <c r="V110" s="667">
        <v>15</v>
      </c>
      <c r="W110" s="666">
        <v>76</v>
      </c>
      <c r="X110" s="667">
        <v>14</v>
      </c>
      <c r="Y110" s="673">
        <f>SUM(S110+U110+W110)</f>
        <v>158</v>
      </c>
      <c r="Z110" s="674">
        <f>T110+V110+X110</f>
        <v>29</v>
      </c>
      <c r="AA110" s="376">
        <f>IF(Y110&lt;&gt;0,Z110/Q110,"")</f>
        <v>29</v>
      </c>
      <c r="AB110" s="377">
        <f>IF(Y110&lt;&gt;0,Y110/Z110,"")</f>
        <v>5.448275862068965</v>
      </c>
      <c r="AC110" s="275">
        <v>158</v>
      </c>
      <c r="AD110" s="379">
        <f>IF(AC110&lt;&gt;0,-(AC110-Y110)/AC110,"")</f>
        <v>0</v>
      </c>
      <c r="AE110" s="271">
        <f>AG110-Y110</f>
        <v>450</v>
      </c>
      <c r="AF110" s="267">
        <f>AH110-Z110</f>
        <v>90</v>
      </c>
      <c r="AG110" s="269">
        <v>608</v>
      </c>
      <c r="AH110" s="282">
        <v>119</v>
      </c>
      <c r="AI110" s="270">
        <f>Z110*1/AH110</f>
        <v>0.24369747899159663</v>
      </c>
      <c r="AJ110" s="270">
        <f>AF110*1/AH110</f>
        <v>0.7563025210084033</v>
      </c>
      <c r="AK110" s="267">
        <f>AH110/Q110</f>
        <v>119</v>
      </c>
      <c r="AL110" s="268">
        <f>AG110/AH110</f>
        <v>5.109243697478991</v>
      </c>
      <c r="AM110" s="269">
        <v>608</v>
      </c>
      <c r="AN110" s="270">
        <f>IF(AM110&lt;&gt;0,-(AM110-AG110)/AM110,"")</f>
        <v>0</v>
      </c>
      <c r="AO110" s="269">
        <v>571364</v>
      </c>
      <c r="AP110" s="282">
        <v>61448</v>
      </c>
      <c r="AQ110" s="385">
        <f>AO110/AP110</f>
        <v>9.298333550318969</v>
      </c>
      <c r="AR110" s="285">
        <v>40907</v>
      </c>
      <c r="AS110" s="671" t="s">
        <v>357</v>
      </c>
      <c r="AT110" s="62"/>
    </row>
    <row r="111" spans="1:46" s="10" customFormat="1" ht="15" customHeight="1" hidden="1">
      <c r="A111" s="218">
        <v>101</v>
      </c>
      <c r="B111" s="644"/>
      <c r="C111" s="648" t="s">
        <v>261</v>
      </c>
      <c r="D111" s="645"/>
      <c r="E111" s="645"/>
      <c r="F111" s="645"/>
      <c r="G111" s="645"/>
      <c r="H111" s="646"/>
      <c r="I111" s="653"/>
      <c r="J111" s="258" t="s">
        <v>131</v>
      </c>
      <c r="K111" s="65" t="s">
        <v>132</v>
      </c>
      <c r="L111" s="71" t="s">
        <v>99</v>
      </c>
      <c r="M111" s="69" t="s">
        <v>136</v>
      </c>
      <c r="N111" s="290">
        <v>40746</v>
      </c>
      <c r="O111" s="68" t="s">
        <v>52</v>
      </c>
      <c r="P111" s="352">
        <v>23</v>
      </c>
      <c r="Q111" s="276">
        <v>1</v>
      </c>
      <c r="R111" s="276">
        <v>18</v>
      </c>
      <c r="S111" s="495">
        <v>12</v>
      </c>
      <c r="T111" s="496">
        <v>2</v>
      </c>
      <c r="U111" s="495">
        <v>24</v>
      </c>
      <c r="V111" s="496">
        <v>4</v>
      </c>
      <c r="W111" s="495">
        <v>0</v>
      </c>
      <c r="X111" s="496">
        <v>0</v>
      </c>
      <c r="Y111" s="675">
        <f>SUM(S111+U111+W111)</f>
        <v>36</v>
      </c>
      <c r="Z111" s="676">
        <f>T111+V111+X111</f>
        <v>6</v>
      </c>
      <c r="AA111" s="376">
        <f>IF(Y111&lt;&gt;0,Z111/Q111,"")</f>
        <v>6</v>
      </c>
      <c r="AB111" s="377">
        <f>IF(Y111&lt;&gt;0,Y111/Z111,"")</f>
        <v>6</v>
      </c>
      <c r="AC111" s="275">
        <v>36</v>
      </c>
      <c r="AD111" s="379">
        <f>IF(AC111&lt;&gt;0,-(AC111-Y111)/AC111,"")</f>
        <v>0</v>
      </c>
      <c r="AE111" s="271">
        <f>AG111-Y111</f>
        <v>0</v>
      </c>
      <c r="AF111" s="267">
        <f>AH111-Z111</f>
        <v>0</v>
      </c>
      <c r="AG111" s="346">
        <v>36</v>
      </c>
      <c r="AH111" s="358">
        <v>6</v>
      </c>
      <c r="AI111" s="270">
        <f>Z111*1/AH111</f>
        <v>1</v>
      </c>
      <c r="AJ111" s="270">
        <f>AF111*1/AH111</f>
        <v>0</v>
      </c>
      <c r="AK111" s="267">
        <f>AH111/Q111</f>
        <v>6</v>
      </c>
      <c r="AL111" s="268">
        <f>AG111/AH111</f>
        <v>6</v>
      </c>
      <c r="AM111" s="275">
        <v>36</v>
      </c>
      <c r="AN111" s="270">
        <f>IF(AM111&lt;&gt;0,-(AM111-AG111)/AM111,"")</f>
        <v>0</v>
      </c>
      <c r="AO111" s="346">
        <f>47685+27229.5+17697.5+18612+19593.5+16691+6089.5+2551.5+2254+4358+2609+1310+356+168+150+121+69+36</f>
        <v>167580.5</v>
      </c>
      <c r="AP111" s="282">
        <f>4321+2419+2108+2430+2448+2072+892+397+346+639+377+205+49+24+23+19+11+6</f>
        <v>18786</v>
      </c>
      <c r="AQ111" s="385">
        <f>AO111/AP111</f>
        <v>8.920499307995316</v>
      </c>
      <c r="AR111" s="285">
        <v>40907</v>
      </c>
      <c r="AS111" s="671" t="s">
        <v>357</v>
      </c>
      <c r="AT111" s="62"/>
    </row>
    <row r="112" spans="1:46" s="10" customFormat="1" ht="15" customHeight="1" hidden="1">
      <c r="A112" s="218">
        <v>105</v>
      </c>
      <c r="B112" s="644"/>
      <c r="C112" s="648" t="s">
        <v>261</v>
      </c>
      <c r="D112" s="645"/>
      <c r="E112" s="645"/>
      <c r="F112" s="645"/>
      <c r="G112" s="645"/>
      <c r="H112" s="646"/>
      <c r="I112" s="646"/>
      <c r="J112" s="264" t="s">
        <v>256</v>
      </c>
      <c r="K112" s="68" t="s">
        <v>257</v>
      </c>
      <c r="L112" s="68" t="s">
        <v>248</v>
      </c>
      <c r="M112" s="68" t="s">
        <v>240</v>
      </c>
      <c r="N112" s="290">
        <v>40739</v>
      </c>
      <c r="O112" s="68" t="s">
        <v>13</v>
      </c>
      <c r="P112" s="350">
        <v>3</v>
      </c>
      <c r="Q112" s="274">
        <v>2</v>
      </c>
      <c r="R112" s="274">
        <v>17</v>
      </c>
      <c r="S112" s="661">
        <v>0</v>
      </c>
      <c r="T112" s="526">
        <v>0</v>
      </c>
      <c r="U112" s="661">
        <v>0</v>
      </c>
      <c r="V112" s="526">
        <v>0</v>
      </c>
      <c r="W112" s="661">
        <v>0</v>
      </c>
      <c r="X112" s="526">
        <v>0</v>
      </c>
      <c r="Y112" s="673">
        <f>SUM(S112+U112+W112)</f>
        <v>0</v>
      </c>
      <c r="Z112" s="674">
        <f>T112+V112+X112</f>
        <v>0</v>
      </c>
      <c r="AA112" s="376">
        <f>IF(Y112&lt;&gt;0,Z112/Q112,"")</f>
      </c>
      <c r="AB112" s="377">
        <f>IF(Y112&lt;&gt;0,Y112/Z112,"")</f>
      </c>
      <c r="AC112" s="275">
        <v>0</v>
      </c>
      <c r="AD112" s="379">
        <f>IF(AC112&lt;&gt;0,-(AC112-Y112)/AC112,"")</f>
      </c>
      <c r="AE112" s="271">
        <f>AG112-Y112</f>
        <v>2608</v>
      </c>
      <c r="AF112" s="267">
        <f>AH112-Z112</f>
        <v>520</v>
      </c>
      <c r="AG112" s="269">
        <v>2608</v>
      </c>
      <c r="AH112" s="282">
        <v>520</v>
      </c>
      <c r="AI112" s="270">
        <f>Z112*1/AH112</f>
        <v>0</v>
      </c>
      <c r="AJ112" s="270">
        <f>AF112*1/AH112</f>
        <v>1</v>
      </c>
      <c r="AK112" s="267">
        <f>AH112/Q112</f>
        <v>260</v>
      </c>
      <c r="AL112" s="268">
        <f>AG112/AH112</f>
        <v>5.015384615384615</v>
      </c>
      <c r="AM112" s="269">
        <v>2608</v>
      </c>
      <c r="AN112" s="270">
        <f>IF(AM112&lt;&gt;0,-(AM112-AG112)/AM112,"")</f>
        <v>0</v>
      </c>
      <c r="AO112" s="269">
        <v>43756.5</v>
      </c>
      <c r="AP112" s="282">
        <v>5487</v>
      </c>
      <c r="AQ112" s="385">
        <f>AO112/AP112</f>
        <v>7.97457627118644</v>
      </c>
      <c r="AR112" s="285">
        <v>40907</v>
      </c>
      <c r="AS112" s="671" t="s">
        <v>357</v>
      </c>
      <c r="AT112" s="62"/>
    </row>
    <row r="113" spans="1:46" s="10" customFormat="1" ht="15" customHeight="1" hidden="1">
      <c r="A113" s="218"/>
      <c r="B113" s="644"/>
      <c r="C113" s="648" t="s">
        <v>261</v>
      </c>
      <c r="D113" s="645"/>
      <c r="E113" s="645"/>
      <c r="F113" s="645"/>
      <c r="G113" s="645"/>
      <c r="H113" s="646"/>
      <c r="I113" s="646"/>
      <c r="J113" s="264" t="s">
        <v>249</v>
      </c>
      <c r="K113" s="68" t="s">
        <v>250</v>
      </c>
      <c r="L113" s="68" t="s">
        <v>79</v>
      </c>
      <c r="M113" s="68" t="s">
        <v>243</v>
      </c>
      <c r="N113" s="291">
        <v>40718</v>
      </c>
      <c r="O113" s="68" t="s">
        <v>13</v>
      </c>
      <c r="P113" s="350">
        <v>5</v>
      </c>
      <c r="Q113" s="274">
        <v>1</v>
      </c>
      <c r="R113" s="274">
        <v>14</v>
      </c>
      <c r="S113" s="661">
        <v>0</v>
      </c>
      <c r="T113" s="526">
        <v>0</v>
      </c>
      <c r="U113" s="661">
        <v>0</v>
      </c>
      <c r="V113" s="526">
        <v>0</v>
      </c>
      <c r="W113" s="661">
        <v>0</v>
      </c>
      <c r="X113" s="526">
        <v>0</v>
      </c>
      <c r="Y113" s="675">
        <f>SUM(S113+U113+W113)</f>
        <v>0</v>
      </c>
      <c r="Z113" s="676">
        <f>T113+V113+X113</f>
        <v>0</v>
      </c>
      <c r="AA113" s="376">
        <f>IF(Y113&lt;&gt;0,Z113/Q113,"")</f>
      </c>
      <c r="AB113" s="377">
        <f>IF(Y113&lt;&gt;0,Y113/Z113,"")</f>
      </c>
      <c r="AC113" s="275">
        <v>0</v>
      </c>
      <c r="AD113" s="379">
        <f>IF(AC113&lt;&gt;0,-(AC113-Y113)/AC113,"")</f>
      </c>
      <c r="AE113" s="271">
        <f>AG113-Y113</f>
        <v>1188</v>
      </c>
      <c r="AF113" s="267">
        <f>AH113-Z113</f>
        <v>237</v>
      </c>
      <c r="AG113" s="269">
        <v>1188</v>
      </c>
      <c r="AH113" s="282">
        <v>237</v>
      </c>
      <c r="AI113" s="270">
        <f>Z113*1/AH113</f>
        <v>0</v>
      </c>
      <c r="AJ113" s="270">
        <f>AF113*1/AH113</f>
        <v>1</v>
      </c>
      <c r="AK113" s="267">
        <f>AH113/Q113</f>
        <v>237</v>
      </c>
      <c r="AL113" s="268">
        <f>AG113/AH113</f>
        <v>5.012658227848101</v>
      </c>
      <c r="AM113" s="269">
        <v>1188</v>
      </c>
      <c r="AN113" s="270">
        <f>IF(AM113&lt;&gt;0,-(AM113-AG113)/AM113,"")</f>
        <v>0</v>
      </c>
      <c r="AO113" s="269">
        <v>30216.25</v>
      </c>
      <c r="AP113" s="282">
        <v>3201</v>
      </c>
      <c r="AQ113" s="385">
        <f>AO113/AP113</f>
        <v>9.439628241174633</v>
      </c>
      <c r="AR113" s="285">
        <v>40907</v>
      </c>
      <c r="AS113" s="671" t="s">
        <v>357</v>
      </c>
      <c r="AT113" s="62"/>
    </row>
    <row r="114" spans="1:46" s="10" customFormat="1" ht="15" customHeight="1" hidden="1">
      <c r="A114" s="218">
        <v>4</v>
      </c>
      <c r="B114" s="644"/>
      <c r="C114" s="648" t="s">
        <v>261</v>
      </c>
      <c r="D114" s="645"/>
      <c r="E114" s="645"/>
      <c r="F114" s="645"/>
      <c r="G114" s="645"/>
      <c r="H114" s="646"/>
      <c r="I114" s="646"/>
      <c r="J114" s="264" t="s">
        <v>244</v>
      </c>
      <c r="K114" s="68" t="s">
        <v>247</v>
      </c>
      <c r="L114" s="68" t="s">
        <v>248</v>
      </c>
      <c r="M114" s="68" t="s">
        <v>245</v>
      </c>
      <c r="N114" s="290">
        <v>40753</v>
      </c>
      <c r="O114" s="68" t="s">
        <v>13</v>
      </c>
      <c r="P114" s="350">
        <v>3</v>
      </c>
      <c r="Q114" s="274">
        <v>1</v>
      </c>
      <c r="R114" s="274">
        <v>7</v>
      </c>
      <c r="S114" s="661">
        <v>0</v>
      </c>
      <c r="T114" s="526">
        <v>0</v>
      </c>
      <c r="U114" s="661">
        <v>0</v>
      </c>
      <c r="V114" s="526">
        <v>0</v>
      </c>
      <c r="W114" s="661">
        <v>0</v>
      </c>
      <c r="X114" s="526">
        <v>0</v>
      </c>
      <c r="Y114" s="673">
        <f>SUM(S114+U114+W114)</f>
        <v>0</v>
      </c>
      <c r="Z114" s="674">
        <f>T114+V114+X114</f>
        <v>0</v>
      </c>
      <c r="AA114" s="376">
        <f>IF(Y114&lt;&gt;0,Z114/Q114,"")</f>
      </c>
      <c r="AB114" s="377">
        <f>IF(Y114&lt;&gt;0,Y114/Z114,"")</f>
      </c>
      <c r="AC114" s="275">
        <v>0</v>
      </c>
      <c r="AD114" s="379">
        <f>IF(AC114&lt;&gt;0,-(AC114-Y114)/AC114,"")</f>
      </c>
      <c r="AE114" s="271">
        <f>AG114-Y114</f>
        <v>1188</v>
      </c>
      <c r="AF114" s="267">
        <f>AH114-Z114</f>
        <v>237</v>
      </c>
      <c r="AG114" s="269">
        <v>1188</v>
      </c>
      <c r="AH114" s="282">
        <v>237</v>
      </c>
      <c r="AI114" s="270">
        <f>Z114*1/AH114</f>
        <v>0</v>
      </c>
      <c r="AJ114" s="270">
        <f>AF114*1/AH114</f>
        <v>1</v>
      </c>
      <c r="AK114" s="267">
        <f>AH114/Q114</f>
        <v>237</v>
      </c>
      <c r="AL114" s="268">
        <f>AG114/AH114</f>
        <v>5.012658227848101</v>
      </c>
      <c r="AM114" s="269">
        <v>1188</v>
      </c>
      <c r="AN114" s="270">
        <f>IF(AM114&lt;&gt;0,-(AM114-AG114)/AM114,"")</f>
        <v>0</v>
      </c>
      <c r="AO114" s="269">
        <v>16007.5</v>
      </c>
      <c r="AP114" s="282">
        <v>1536</v>
      </c>
      <c r="AQ114" s="385">
        <f>AO114/AP114</f>
        <v>10.421549479166666</v>
      </c>
      <c r="AR114" s="285">
        <v>40907</v>
      </c>
      <c r="AS114" s="671" t="s">
        <v>357</v>
      </c>
      <c r="AT114" s="62"/>
    </row>
    <row r="115" spans="1:46" s="10" customFormat="1" ht="15" customHeight="1" hidden="1">
      <c r="A115" s="218">
        <v>6</v>
      </c>
      <c r="B115" s="644"/>
      <c r="C115" s="648" t="s">
        <v>261</v>
      </c>
      <c r="D115" s="645"/>
      <c r="E115" s="645"/>
      <c r="F115" s="645"/>
      <c r="G115" s="645"/>
      <c r="H115" s="646"/>
      <c r="I115" s="646"/>
      <c r="J115" s="264" t="s">
        <v>241</v>
      </c>
      <c r="K115" s="68" t="s">
        <v>129</v>
      </c>
      <c r="L115" s="68" t="s">
        <v>79</v>
      </c>
      <c r="M115" s="68" t="s">
        <v>242</v>
      </c>
      <c r="N115" s="290">
        <v>40781</v>
      </c>
      <c r="O115" s="68" t="s">
        <v>13</v>
      </c>
      <c r="P115" s="350">
        <v>10</v>
      </c>
      <c r="Q115" s="274">
        <v>1</v>
      </c>
      <c r="R115" s="274">
        <v>9</v>
      </c>
      <c r="S115" s="661">
        <v>0</v>
      </c>
      <c r="T115" s="526">
        <v>0</v>
      </c>
      <c r="U115" s="661">
        <v>0</v>
      </c>
      <c r="V115" s="526">
        <v>0</v>
      </c>
      <c r="W115" s="661">
        <v>0</v>
      </c>
      <c r="X115" s="526">
        <v>0</v>
      </c>
      <c r="Y115" s="675">
        <f>SUM(S115+U115+W115)</f>
        <v>0</v>
      </c>
      <c r="Z115" s="676">
        <f>T115+V115+X115</f>
        <v>0</v>
      </c>
      <c r="AA115" s="376">
        <f>IF(Y115&lt;&gt;0,Z115/Q115,"")</f>
      </c>
      <c r="AB115" s="377">
        <f>IF(Y115&lt;&gt;0,Y115/Z115,"")</f>
      </c>
      <c r="AC115" s="275">
        <v>0</v>
      </c>
      <c r="AD115" s="379">
        <f>IF(AC115&lt;&gt;0,-(AC115-Y115)/AC115,"")</f>
      </c>
      <c r="AE115" s="271">
        <f>AG115-Y115</f>
        <v>1188</v>
      </c>
      <c r="AF115" s="267">
        <f>AH115-Z115</f>
        <v>237</v>
      </c>
      <c r="AG115" s="269">
        <v>1188</v>
      </c>
      <c r="AH115" s="282">
        <v>237</v>
      </c>
      <c r="AI115" s="270">
        <f>Z115*1/AH115</f>
        <v>0</v>
      </c>
      <c r="AJ115" s="270">
        <f>AF115*1/AH115</f>
        <v>1</v>
      </c>
      <c r="AK115" s="267">
        <f>AH115/Q115</f>
        <v>237</v>
      </c>
      <c r="AL115" s="268">
        <f>AG115/AH115</f>
        <v>5.012658227848101</v>
      </c>
      <c r="AM115" s="269">
        <v>1188</v>
      </c>
      <c r="AN115" s="270">
        <f>IF(AM115&lt;&gt;0,-(AM115-AG115)/AM115,"")</f>
        <v>0</v>
      </c>
      <c r="AO115" s="269">
        <v>32436</v>
      </c>
      <c r="AP115" s="282">
        <v>4095</v>
      </c>
      <c r="AQ115" s="385">
        <f>AO115/AP115</f>
        <v>7.920879120879121</v>
      </c>
      <c r="AR115" s="285">
        <v>40907</v>
      </c>
      <c r="AS115" s="671" t="s">
        <v>357</v>
      </c>
      <c r="AT115" s="62"/>
    </row>
    <row r="116" spans="1:46" s="10" customFormat="1" ht="15" customHeight="1" hidden="1">
      <c r="A116" s="218">
        <v>17</v>
      </c>
      <c r="B116" s="644"/>
      <c r="C116" s="648" t="s">
        <v>261</v>
      </c>
      <c r="D116" s="645"/>
      <c r="E116" s="645"/>
      <c r="F116" s="645"/>
      <c r="G116" s="645"/>
      <c r="H116" s="646"/>
      <c r="I116" s="646"/>
      <c r="J116" s="264" t="s">
        <v>251</v>
      </c>
      <c r="K116" s="68" t="s">
        <v>252</v>
      </c>
      <c r="L116" s="68" t="s">
        <v>248</v>
      </c>
      <c r="M116" s="68" t="s">
        <v>246</v>
      </c>
      <c r="N116" s="290">
        <v>40564</v>
      </c>
      <c r="O116" s="68" t="s">
        <v>13</v>
      </c>
      <c r="P116" s="350">
        <v>3</v>
      </c>
      <c r="Q116" s="274">
        <v>1</v>
      </c>
      <c r="R116" s="274">
        <v>6</v>
      </c>
      <c r="S116" s="661">
        <v>0</v>
      </c>
      <c r="T116" s="526">
        <v>0</v>
      </c>
      <c r="U116" s="661">
        <v>0</v>
      </c>
      <c r="V116" s="526">
        <v>0</v>
      </c>
      <c r="W116" s="661">
        <v>0</v>
      </c>
      <c r="X116" s="526">
        <v>0</v>
      </c>
      <c r="Y116" s="673">
        <f>SUM(S116+U116+W116)</f>
        <v>0</v>
      </c>
      <c r="Z116" s="674">
        <f>T116+V116+X116</f>
        <v>0</v>
      </c>
      <c r="AA116" s="376">
        <f>IF(Y116&lt;&gt;0,Z116/Q116,"")</f>
      </c>
      <c r="AB116" s="377">
        <f>IF(Y116&lt;&gt;0,Y116/Z116,"")</f>
      </c>
      <c r="AC116" s="275">
        <v>0</v>
      </c>
      <c r="AD116" s="379">
        <f>IF(AC116&lt;&gt;0,-(AC116-Y116)/AC116,"")</f>
      </c>
      <c r="AE116" s="271">
        <f>AG116-Y116</f>
        <v>594</v>
      </c>
      <c r="AF116" s="267">
        <f>AH116-Z116</f>
        <v>118</v>
      </c>
      <c r="AG116" s="269">
        <v>594</v>
      </c>
      <c r="AH116" s="282">
        <v>118</v>
      </c>
      <c r="AI116" s="270">
        <f>Z116*1/AH116</f>
        <v>0</v>
      </c>
      <c r="AJ116" s="270">
        <f>AF116*1/AH116</f>
        <v>1</v>
      </c>
      <c r="AK116" s="267">
        <f>AH116/Q116</f>
        <v>118</v>
      </c>
      <c r="AL116" s="268">
        <f>AG116/AH116</f>
        <v>5.033898305084746</v>
      </c>
      <c r="AM116" s="269">
        <v>594</v>
      </c>
      <c r="AN116" s="270">
        <f>IF(AM116&lt;&gt;0,-(AM116-AG116)/AM116,"")</f>
        <v>0</v>
      </c>
      <c r="AO116" s="269">
        <v>13140.5</v>
      </c>
      <c r="AP116" s="282">
        <v>1009</v>
      </c>
      <c r="AQ116" s="385">
        <f>AO116/AP116</f>
        <v>13.023290386521309</v>
      </c>
      <c r="AR116" s="285">
        <v>40907</v>
      </c>
      <c r="AS116" s="671" t="s">
        <v>357</v>
      </c>
      <c r="AT116" s="62"/>
    </row>
    <row r="117" spans="1:46" s="10" customFormat="1" ht="15" customHeight="1" hidden="1">
      <c r="A117" s="218">
        <v>19</v>
      </c>
      <c r="B117" s="644"/>
      <c r="C117" s="648" t="s">
        <v>261</v>
      </c>
      <c r="D117" s="645"/>
      <c r="E117" s="645"/>
      <c r="F117" s="645"/>
      <c r="G117" s="645"/>
      <c r="H117" s="647"/>
      <c r="I117" s="649" t="s">
        <v>54</v>
      </c>
      <c r="J117" s="264" t="s">
        <v>237</v>
      </c>
      <c r="K117" s="68" t="s">
        <v>238</v>
      </c>
      <c r="L117" s="68"/>
      <c r="M117" s="68" t="s">
        <v>237</v>
      </c>
      <c r="N117" s="290">
        <v>40613</v>
      </c>
      <c r="O117" s="68" t="s">
        <v>13</v>
      </c>
      <c r="P117" s="350">
        <v>25</v>
      </c>
      <c r="Q117" s="274">
        <v>1</v>
      </c>
      <c r="R117" s="274">
        <v>19</v>
      </c>
      <c r="S117" s="661">
        <v>0</v>
      </c>
      <c r="T117" s="526">
        <v>0</v>
      </c>
      <c r="U117" s="661">
        <v>0</v>
      </c>
      <c r="V117" s="526">
        <v>0</v>
      </c>
      <c r="W117" s="661">
        <v>0</v>
      </c>
      <c r="X117" s="526">
        <v>0</v>
      </c>
      <c r="Y117" s="675">
        <f>SUM(S117+U117+W117)</f>
        <v>0</v>
      </c>
      <c r="Z117" s="676">
        <f>T117+V117+X117</f>
        <v>0</v>
      </c>
      <c r="AA117" s="376">
        <f>IF(Y117&lt;&gt;0,Z117/Q117,"")</f>
      </c>
      <c r="AB117" s="377">
        <f>IF(Y117&lt;&gt;0,Y117/Z117,"")</f>
      </c>
      <c r="AC117" s="275">
        <v>0</v>
      </c>
      <c r="AD117" s="379">
        <f>IF(AC117&lt;&gt;0,-(AC117-Y117)/AC117,"")</f>
      </c>
      <c r="AE117" s="271">
        <f>AG117-Y117</f>
        <v>594</v>
      </c>
      <c r="AF117" s="267">
        <f>AH117-Z117</f>
        <v>118</v>
      </c>
      <c r="AG117" s="269">
        <v>594</v>
      </c>
      <c r="AH117" s="282">
        <v>118</v>
      </c>
      <c r="AI117" s="270">
        <f>Z117*1/AH117</f>
        <v>0</v>
      </c>
      <c r="AJ117" s="270">
        <f>AF117*1/AH117</f>
        <v>1</v>
      </c>
      <c r="AK117" s="267">
        <f>AH117/Q117</f>
        <v>118</v>
      </c>
      <c r="AL117" s="268">
        <f>AG117/AH117</f>
        <v>5.033898305084746</v>
      </c>
      <c r="AM117" s="269">
        <v>594</v>
      </c>
      <c r="AN117" s="270">
        <f>IF(AM117&lt;&gt;0,-(AM117-AG117)/AM117,"")</f>
        <v>0</v>
      </c>
      <c r="AO117" s="269">
        <v>211543.5</v>
      </c>
      <c r="AP117" s="282">
        <v>28466</v>
      </c>
      <c r="AQ117" s="385">
        <f>AO117/AP117</f>
        <v>7.4314445303168695</v>
      </c>
      <c r="AR117" s="285">
        <v>40907</v>
      </c>
      <c r="AS117" s="671" t="s">
        <v>357</v>
      </c>
      <c r="AT117" s="62"/>
    </row>
    <row r="118" spans="1:46" s="10" customFormat="1" ht="15" customHeight="1" hidden="1">
      <c r="A118" s="218">
        <v>36</v>
      </c>
      <c r="B118" s="644"/>
      <c r="C118" s="648" t="s">
        <v>261</v>
      </c>
      <c r="D118" s="645"/>
      <c r="E118" s="645"/>
      <c r="F118" s="645"/>
      <c r="G118" s="645"/>
      <c r="H118" s="646"/>
      <c r="I118" s="646"/>
      <c r="J118" s="264" t="s">
        <v>253</v>
      </c>
      <c r="K118" s="68" t="s">
        <v>254</v>
      </c>
      <c r="L118" s="68" t="s">
        <v>79</v>
      </c>
      <c r="M118" s="68" t="s">
        <v>255</v>
      </c>
      <c r="N118" s="290">
        <v>40802</v>
      </c>
      <c r="O118" s="68" t="s">
        <v>13</v>
      </c>
      <c r="P118" s="350">
        <v>8</v>
      </c>
      <c r="Q118" s="274">
        <v>1</v>
      </c>
      <c r="R118" s="274">
        <v>14</v>
      </c>
      <c r="S118" s="661">
        <v>0</v>
      </c>
      <c r="T118" s="526">
        <v>0</v>
      </c>
      <c r="U118" s="661">
        <v>0</v>
      </c>
      <c r="V118" s="526">
        <v>0</v>
      </c>
      <c r="W118" s="661">
        <v>0</v>
      </c>
      <c r="X118" s="526">
        <v>0</v>
      </c>
      <c r="Y118" s="673">
        <f>SUM(S118+U118+W118)</f>
        <v>0</v>
      </c>
      <c r="Z118" s="674">
        <f>T118+V118+X118</f>
        <v>0</v>
      </c>
      <c r="AA118" s="376">
        <f>IF(Y118&lt;&gt;0,Z118/Q118,"")</f>
      </c>
      <c r="AB118" s="377">
        <f>IF(Y118&lt;&gt;0,Y118/Z118,"")</f>
      </c>
      <c r="AC118" s="275">
        <v>0</v>
      </c>
      <c r="AD118" s="379">
        <f>IF(AC118&lt;&gt;0,-(AC118-Y118)/AC118,"")</f>
      </c>
      <c r="AE118" s="271">
        <f>AG118-Y118</f>
        <v>302.5</v>
      </c>
      <c r="AF118" s="267">
        <f>AH118-Z118</f>
        <v>67</v>
      </c>
      <c r="AG118" s="269">
        <v>302.5</v>
      </c>
      <c r="AH118" s="282">
        <v>67</v>
      </c>
      <c r="AI118" s="270">
        <f>Z118*1/AH118</f>
        <v>0</v>
      </c>
      <c r="AJ118" s="270">
        <f>AF118*1/AH118</f>
        <v>1</v>
      </c>
      <c r="AK118" s="267">
        <f>AH118/Q118</f>
        <v>67</v>
      </c>
      <c r="AL118" s="268">
        <f>AG118/AH118</f>
        <v>4.514925373134329</v>
      </c>
      <c r="AM118" s="269">
        <v>302.5</v>
      </c>
      <c r="AN118" s="270">
        <f>IF(AM118&lt;&gt;0,-(AM118-AG118)/AM118,"")</f>
        <v>0</v>
      </c>
      <c r="AO118" s="269">
        <v>73390</v>
      </c>
      <c r="AP118" s="282">
        <v>8093</v>
      </c>
      <c r="AQ118" s="385">
        <f>AO118/AP118</f>
        <v>9.068330656122574</v>
      </c>
      <c r="AR118" s="285">
        <v>40907</v>
      </c>
      <c r="AS118" s="671" t="s">
        <v>357</v>
      </c>
      <c r="AT118" s="62"/>
    </row>
    <row r="119" spans="1:45" s="10" customFormat="1" ht="15" customHeight="1" hidden="1">
      <c r="A119" s="218">
        <v>55</v>
      </c>
      <c r="B119" s="654"/>
      <c r="C119" s="648" t="s">
        <v>261</v>
      </c>
      <c r="D119" s="657" t="s">
        <v>223</v>
      </c>
      <c r="E119" s="655"/>
      <c r="F119" s="645"/>
      <c r="G119" s="658"/>
      <c r="H119" s="650" t="s">
        <v>55</v>
      </c>
      <c r="I119" s="653"/>
      <c r="J119" s="243" t="s">
        <v>266</v>
      </c>
      <c r="K119" s="70" t="s">
        <v>441</v>
      </c>
      <c r="L119" s="65" t="s">
        <v>186</v>
      </c>
      <c r="M119" s="70" t="s">
        <v>267</v>
      </c>
      <c r="N119" s="291">
        <v>39073</v>
      </c>
      <c r="O119" s="68" t="s">
        <v>53</v>
      </c>
      <c r="P119" s="356">
        <v>51</v>
      </c>
      <c r="Q119" s="279">
        <v>1</v>
      </c>
      <c r="R119" s="279">
        <v>20</v>
      </c>
      <c r="S119" s="661">
        <v>0</v>
      </c>
      <c r="T119" s="526">
        <v>0</v>
      </c>
      <c r="U119" s="661">
        <v>0</v>
      </c>
      <c r="V119" s="526">
        <v>0</v>
      </c>
      <c r="W119" s="661">
        <v>0</v>
      </c>
      <c r="X119" s="526">
        <v>0</v>
      </c>
      <c r="Y119" s="673">
        <f>SUM(S119+U119+W119)</f>
        <v>0</v>
      </c>
      <c r="Z119" s="674">
        <f>T119+V119+X119</f>
        <v>0</v>
      </c>
      <c r="AA119" s="376">
        <f>IF(Y119&lt;&gt;0,Z119/Q119,"")</f>
      </c>
      <c r="AB119" s="377">
        <f>IF(Y119&lt;&gt;0,Y119/Z119,"")</f>
      </c>
      <c r="AC119" s="275">
        <v>0</v>
      </c>
      <c r="AD119" s="379">
        <f>IF(AC119&lt;&gt;0,-(AC119-Y119)/AC119,"")</f>
      </c>
      <c r="AE119" s="271">
        <f>AG119-Y119</f>
        <v>1201</v>
      </c>
      <c r="AF119" s="267">
        <f>AH119-Z119</f>
        <v>240</v>
      </c>
      <c r="AG119" s="269">
        <v>1201</v>
      </c>
      <c r="AH119" s="282">
        <v>240</v>
      </c>
      <c r="AI119" s="270">
        <f>Z119*1/AH119</f>
        <v>0</v>
      </c>
      <c r="AJ119" s="270">
        <f>AF119*1/AH119</f>
        <v>1</v>
      </c>
      <c r="AK119" s="267">
        <f>AH119/Q119</f>
        <v>240</v>
      </c>
      <c r="AL119" s="268">
        <f>AG119/AH119</f>
        <v>5.004166666666666</v>
      </c>
      <c r="AM119" s="269">
        <v>1201</v>
      </c>
      <c r="AN119" s="270">
        <f>IF(AM119&lt;&gt;0,-(AM119-AG119)/AM119,"")</f>
        <v>0</v>
      </c>
      <c r="AO119" s="269">
        <f>145565+155630+55982+15271+7453.5+9440+11300.5+7141.5+2772.5+2945+30+431+4621+226+400+118+79+0+1201</f>
        <v>420607</v>
      </c>
      <c r="AP119" s="282">
        <f>17748+18932+7628+2641+1317+1724+2010+1184+553+655+5+131+1001+24+110+22+13+0+240</f>
        <v>55938</v>
      </c>
      <c r="AQ119" s="385">
        <f>AO119/AP119</f>
        <v>7.519164074511066</v>
      </c>
      <c r="AR119" s="285">
        <v>40907</v>
      </c>
      <c r="AS119" s="671" t="s">
        <v>357</v>
      </c>
    </row>
    <row r="120" spans="1:46" s="10" customFormat="1" ht="15" customHeight="1" hidden="1">
      <c r="A120" s="218">
        <v>61</v>
      </c>
      <c r="B120" s="644"/>
      <c r="C120" s="648" t="s">
        <v>261</v>
      </c>
      <c r="D120" s="645"/>
      <c r="E120" s="645"/>
      <c r="F120" s="645"/>
      <c r="G120" s="645"/>
      <c r="H120" s="646"/>
      <c r="I120" s="646"/>
      <c r="J120" s="248" t="s">
        <v>268</v>
      </c>
      <c r="K120" s="67" t="s">
        <v>275</v>
      </c>
      <c r="L120" s="69" t="s">
        <v>273</v>
      </c>
      <c r="M120" s="67" t="s">
        <v>285</v>
      </c>
      <c r="N120" s="290">
        <v>40641</v>
      </c>
      <c r="O120" s="68" t="s">
        <v>68</v>
      </c>
      <c r="P120" s="350">
        <v>22</v>
      </c>
      <c r="Q120" s="274">
        <v>1</v>
      </c>
      <c r="R120" s="274">
        <v>21</v>
      </c>
      <c r="S120" s="668">
        <v>0</v>
      </c>
      <c r="T120" s="669">
        <v>0</v>
      </c>
      <c r="U120" s="668">
        <v>0</v>
      </c>
      <c r="V120" s="669">
        <v>0</v>
      </c>
      <c r="W120" s="668">
        <v>0</v>
      </c>
      <c r="X120" s="669">
        <v>0</v>
      </c>
      <c r="Y120" s="673">
        <f>SUM(S120+U120+W120)</f>
        <v>0</v>
      </c>
      <c r="Z120" s="674">
        <f>T120+V120+X120</f>
        <v>0</v>
      </c>
      <c r="AA120" s="376">
        <f>IF(Y120&lt;&gt;0,Z120/Q120,"")</f>
      </c>
      <c r="AB120" s="377">
        <f>IF(Y120&lt;&gt;0,Y120/Z120,"")</f>
      </c>
      <c r="AC120" s="275">
        <v>0</v>
      </c>
      <c r="AD120" s="379">
        <f>IF(AC120&lt;&gt;0,-(AC120-Y120)/AC120,"")</f>
      </c>
      <c r="AE120" s="271">
        <f>AG120-Y120</f>
        <v>3801.5</v>
      </c>
      <c r="AF120" s="267">
        <f>AH120-Z120</f>
        <v>950</v>
      </c>
      <c r="AG120" s="272">
        <v>3801.5</v>
      </c>
      <c r="AH120" s="278">
        <v>950</v>
      </c>
      <c r="AI120" s="270">
        <f>Z120*1/AH120</f>
        <v>0</v>
      </c>
      <c r="AJ120" s="270">
        <f>AF120*1/AH120</f>
        <v>1</v>
      </c>
      <c r="AK120" s="267">
        <f>AH120/Q120</f>
        <v>950</v>
      </c>
      <c r="AL120" s="268">
        <f>AG120/AH120</f>
        <v>4.001578947368421</v>
      </c>
      <c r="AM120" s="272">
        <v>3801.5</v>
      </c>
      <c r="AN120" s="270">
        <f>IF(AM120&lt;&gt;0,-(AM120-AG120)/AM120,"")</f>
        <v>0</v>
      </c>
      <c r="AO120" s="272">
        <f>116634.25+59106.5+23134.5+13753.5+15970+8455.5+1576+1761+10125.5+2018+2376+1505+1606+4951.5+5289.5+5175+120+1367+4606+1218+3801.5</f>
        <v>284550.25</v>
      </c>
      <c r="AP120" s="278">
        <f>8833+4531+2274+1803+2249+1097+201+284+1149+305+594+210+182+582+643+704+20+163+464+300+950</f>
        <v>27538</v>
      </c>
      <c r="AQ120" s="385">
        <f>AO120/AP120</f>
        <v>10.333003486091945</v>
      </c>
      <c r="AR120" s="285">
        <v>40907</v>
      </c>
      <c r="AS120" s="671" t="s">
        <v>357</v>
      </c>
      <c r="AT120" s="344"/>
    </row>
    <row r="121" spans="1:46" s="10" customFormat="1" ht="15" customHeight="1" hidden="1">
      <c r="A121" s="218">
        <v>63</v>
      </c>
      <c r="B121" s="644"/>
      <c r="C121" s="648" t="s">
        <v>261</v>
      </c>
      <c r="D121" s="645"/>
      <c r="E121" s="645"/>
      <c r="F121" s="645"/>
      <c r="G121" s="651"/>
      <c r="H121" s="646"/>
      <c r="I121" s="649" t="s">
        <v>54</v>
      </c>
      <c r="J121" s="248" t="s">
        <v>270</v>
      </c>
      <c r="K121" s="65" t="s">
        <v>283</v>
      </c>
      <c r="L121" s="69"/>
      <c r="M121" s="67" t="s">
        <v>270</v>
      </c>
      <c r="N121" s="291">
        <v>40095</v>
      </c>
      <c r="O121" s="68" t="s">
        <v>68</v>
      </c>
      <c r="P121" s="350">
        <v>52</v>
      </c>
      <c r="Q121" s="274">
        <v>1</v>
      </c>
      <c r="R121" s="274">
        <v>16</v>
      </c>
      <c r="S121" s="277">
        <v>0</v>
      </c>
      <c r="T121" s="669">
        <v>0</v>
      </c>
      <c r="U121" s="668">
        <v>0</v>
      </c>
      <c r="V121" s="669">
        <v>0</v>
      </c>
      <c r="W121" s="668">
        <v>0</v>
      </c>
      <c r="X121" s="669">
        <v>0</v>
      </c>
      <c r="Y121" s="673">
        <f>SUM(S121+U121+W121)</f>
        <v>0</v>
      </c>
      <c r="Z121" s="674">
        <f>T121+V121+X121</f>
        <v>0</v>
      </c>
      <c r="AA121" s="376">
        <f>IF(Y121&lt;&gt;0,Z121/Q121,"")</f>
      </c>
      <c r="AB121" s="377">
        <f>IF(Y121&lt;&gt;0,Y121/Z121,"")</f>
      </c>
      <c r="AC121" s="275">
        <v>0</v>
      </c>
      <c r="AD121" s="379">
        <f>IF(AC121&lt;&gt;0,-(AC121-Y121)/AC121,"")</f>
      </c>
      <c r="AE121" s="271">
        <f>AG121-Y121</f>
        <v>952</v>
      </c>
      <c r="AF121" s="267">
        <f>AH121-Z121</f>
        <v>238</v>
      </c>
      <c r="AG121" s="272">
        <v>952</v>
      </c>
      <c r="AH121" s="278">
        <v>238</v>
      </c>
      <c r="AI121" s="270">
        <f>Z121*1/AH121</f>
        <v>0</v>
      </c>
      <c r="AJ121" s="270">
        <f>AF121*1/AH121</f>
        <v>1</v>
      </c>
      <c r="AK121" s="267">
        <f>AH121/Q121</f>
        <v>238</v>
      </c>
      <c r="AL121" s="268">
        <f>AG121/AH121</f>
        <v>4</v>
      </c>
      <c r="AM121" s="272">
        <v>952</v>
      </c>
      <c r="AN121" s="270">
        <f>IF(AM121&lt;&gt;0,-(AM121-AG121)/AM121,"")</f>
        <v>0</v>
      </c>
      <c r="AO121" s="272">
        <f>108013.25+68864+27976+10214+2402+2209+1188+2968+1780+1780+2427.4+364.82+248.58+1780+1188+952</f>
        <v>234355.05</v>
      </c>
      <c r="AP121" s="278">
        <f>12202+8144+4339+1841+481+460+297+742+445+445+599+87+57+445+297+238</f>
        <v>31119</v>
      </c>
      <c r="AQ121" s="385">
        <f>AO121/AP121</f>
        <v>7.5309312638580925</v>
      </c>
      <c r="AR121" s="285">
        <v>40907</v>
      </c>
      <c r="AS121" s="671" t="s">
        <v>357</v>
      </c>
      <c r="AT121" s="344"/>
    </row>
    <row r="122" spans="1:46" s="10" customFormat="1" ht="15" customHeight="1" hidden="1" thickBot="1">
      <c r="A122" s="218">
        <v>85</v>
      </c>
      <c r="B122" s="644"/>
      <c r="C122" s="648" t="s">
        <v>261</v>
      </c>
      <c r="D122" s="657" t="s">
        <v>223</v>
      </c>
      <c r="E122" s="645"/>
      <c r="F122" s="645"/>
      <c r="G122" s="645"/>
      <c r="H122" s="650" t="s">
        <v>55</v>
      </c>
      <c r="I122" s="646"/>
      <c r="J122" s="248" t="s">
        <v>272</v>
      </c>
      <c r="K122" s="65" t="s">
        <v>289</v>
      </c>
      <c r="L122" s="69" t="s">
        <v>85</v>
      </c>
      <c r="M122" s="67" t="s">
        <v>288</v>
      </c>
      <c r="N122" s="290">
        <v>40655</v>
      </c>
      <c r="O122" s="68" t="s">
        <v>68</v>
      </c>
      <c r="P122" s="350">
        <v>156</v>
      </c>
      <c r="Q122" s="274">
        <v>1</v>
      </c>
      <c r="R122" s="274">
        <v>24</v>
      </c>
      <c r="S122" s="277">
        <v>0</v>
      </c>
      <c r="T122" s="669">
        <v>0</v>
      </c>
      <c r="U122" s="668">
        <v>0</v>
      </c>
      <c r="V122" s="669">
        <v>0</v>
      </c>
      <c r="W122" s="668">
        <v>0</v>
      </c>
      <c r="X122" s="669">
        <v>0</v>
      </c>
      <c r="Y122" s="675">
        <f>SUM(S122+U122+W122)</f>
        <v>0</v>
      </c>
      <c r="Z122" s="676">
        <f>T122+V122+X122</f>
        <v>0</v>
      </c>
      <c r="AA122" s="376">
        <f>IF(Y122&lt;&gt;0,Z122/Q122,"")</f>
      </c>
      <c r="AB122" s="377">
        <f>IF(Y122&lt;&gt;0,Y122/Z122,"")</f>
      </c>
      <c r="AC122" s="275">
        <v>0</v>
      </c>
      <c r="AD122" s="379">
        <f>IF(AC122&lt;&gt;0,-(AC122-Y122)/AC122,"")</f>
      </c>
      <c r="AE122" s="271">
        <f>AG122-Y122</f>
        <v>84</v>
      </c>
      <c r="AF122" s="267">
        <f>AH122-Z122</f>
        <v>12</v>
      </c>
      <c r="AG122" s="272">
        <v>84</v>
      </c>
      <c r="AH122" s="278">
        <v>12</v>
      </c>
      <c r="AI122" s="270">
        <f>Z122*1/AH122</f>
        <v>0</v>
      </c>
      <c r="AJ122" s="270">
        <f>AF122*1/AH122</f>
        <v>1</v>
      </c>
      <c r="AK122" s="267">
        <f>AH122/Q122</f>
        <v>12</v>
      </c>
      <c r="AL122" s="268">
        <f>AG122/AH122</f>
        <v>7</v>
      </c>
      <c r="AM122" s="272">
        <v>84</v>
      </c>
      <c r="AN122" s="270">
        <f>IF(AM122&lt;&gt;0,-(AM122-AG122)/AM122,"")</f>
        <v>0</v>
      </c>
      <c r="AO122" s="272">
        <f>633760.5+136320.5+35218.5+12632+4659.5+2946+8058+2678+3172+3399.5+598+564+1471+2243+357+860+1425.5+8382.5+1782+968+1958+1164+407.5+84</f>
        <v>865109</v>
      </c>
      <c r="AP122" s="278">
        <f>74640+17307+4811+1875+917+522+1372+426+632+730+116+93+159+384+67+172+356+2088+446+190+480+372+60+12</f>
        <v>108227</v>
      </c>
      <c r="AQ122" s="385">
        <f>AO122/AP122</f>
        <v>7.993467434189251</v>
      </c>
      <c r="AR122" s="285">
        <v>40907</v>
      </c>
      <c r="AS122" s="671" t="s">
        <v>357</v>
      </c>
      <c r="AT122" s="62"/>
    </row>
    <row r="123" spans="1:45" s="10" customFormat="1" ht="18" thickBot="1">
      <c r="A123" s="131"/>
      <c r="B123" s="219"/>
      <c r="C123" s="219"/>
      <c r="D123" s="219"/>
      <c r="E123" s="219"/>
      <c r="F123" s="219"/>
      <c r="G123" s="219"/>
      <c r="H123" s="219"/>
      <c r="I123" s="220"/>
      <c r="J123" s="221"/>
      <c r="K123" s="221"/>
      <c r="L123" s="221"/>
      <c r="M123" s="221"/>
      <c r="N123" s="222"/>
      <c r="O123" s="223"/>
      <c r="P123" s="224"/>
      <c r="Q123" s="224"/>
      <c r="R123" s="224"/>
      <c r="S123" s="225"/>
      <c r="T123" s="226"/>
      <c r="U123" s="225"/>
      <c r="V123" s="226"/>
      <c r="W123" s="225"/>
      <c r="X123" s="226"/>
      <c r="Y123" s="227"/>
      <c r="Z123" s="228"/>
      <c r="AA123" s="229"/>
      <c r="AB123" s="230">
        <f>IF(Y123&lt;&gt;0,Y123/Z123,"")</f>
      </c>
      <c r="AC123" s="227"/>
      <c r="AD123" s="231">
        <f>IF(AC123&lt;&gt;0,-(AC123-Y123)/AC123,"")</f>
      </c>
      <c r="AE123" s="230"/>
      <c r="AF123" s="229"/>
      <c r="AG123" s="232"/>
      <c r="AH123" s="233"/>
      <c r="AI123" s="234"/>
      <c r="AJ123" s="234"/>
      <c r="AK123" s="235"/>
      <c r="AL123" s="236"/>
      <c r="AM123" s="236"/>
      <c r="AN123" s="236"/>
      <c r="AO123" s="237"/>
      <c r="AP123" s="237"/>
      <c r="AQ123" s="236"/>
      <c r="AR123" s="236"/>
      <c r="AS123" s="238"/>
    </row>
    <row r="124" spans="1:45" s="99" customFormat="1" ht="12.75">
      <c r="A124" s="558" t="s">
        <v>235</v>
      </c>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559"/>
      <c r="AK124" s="559"/>
      <c r="AL124" s="559"/>
      <c r="AM124" s="559"/>
      <c r="AN124" s="559"/>
      <c r="AO124" s="559"/>
      <c r="AP124" s="559"/>
      <c r="AQ124" s="560"/>
      <c r="AR124" s="560"/>
      <c r="AS124" s="560"/>
    </row>
    <row r="125" spans="1:45" s="99" customFormat="1" ht="12.75">
      <c r="A125" s="561"/>
      <c r="B125" s="559"/>
      <c r="C125" s="559"/>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59"/>
      <c r="AF125" s="559"/>
      <c r="AG125" s="559"/>
      <c r="AH125" s="559"/>
      <c r="AI125" s="559"/>
      <c r="AJ125" s="559"/>
      <c r="AK125" s="559"/>
      <c r="AL125" s="559"/>
      <c r="AM125" s="559"/>
      <c r="AN125" s="559"/>
      <c r="AO125" s="559"/>
      <c r="AP125" s="559"/>
      <c r="AQ125" s="560"/>
      <c r="AR125" s="560"/>
      <c r="AS125" s="560"/>
    </row>
    <row r="126" spans="1:45" s="99" customFormat="1" ht="12.75">
      <c r="A126" s="561"/>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60"/>
      <c r="AR126" s="560"/>
      <c r="AS126" s="560"/>
    </row>
    <row r="127" spans="1:45" s="99" customFormat="1" ht="12.75">
      <c r="A127" s="561"/>
      <c r="B127" s="559"/>
      <c r="C127" s="559"/>
      <c r="D127" s="559"/>
      <c r="E127" s="559"/>
      <c r="F127" s="559"/>
      <c r="G127" s="55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59"/>
      <c r="AH127" s="559"/>
      <c r="AI127" s="559"/>
      <c r="AJ127" s="559"/>
      <c r="AK127" s="559"/>
      <c r="AL127" s="559"/>
      <c r="AM127" s="559"/>
      <c r="AN127" s="559"/>
      <c r="AO127" s="559"/>
      <c r="AP127" s="559"/>
      <c r="AQ127" s="560"/>
      <c r="AR127" s="560"/>
      <c r="AS127" s="560"/>
    </row>
    <row r="128" spans="1:45" s="99" customFormat="1" ht="12.75">
      <c r="A128" s="561"/>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c r="AK128" s="559"/>
      <c r="AL128" s="559"/>
      <c r="AM128" s="559"/>
      <c r="AN128" s="559"/>
      <c r="AO128" s="559"/>
      <c r="AP128" s="559"/>
      <c r="AQ128" s="560"/>
      <c r="AR128" s="560"/>
      <c r="AS128" s="560"/>
    </row>
    <row r="129" spans="1:45" s="99" customFormat="1" ht="12.75">
      <c r="A129" s="561"/>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60"/>
      <c r="AR129" s="560"/>
      <c r="AS129" s="560"/>
    </row>
    <row r="130" spans="2:10" ht="18.75">
      <c r="B130" s="592" t="s">
        <v>294</v>
      </c>
      <c r="C130" s="592"/>
      <c r="D130" s="592"/>
      <c r="E130" s="592"/>
      <c r="F130" s="592"/>
      <c r="G130" s="592"/>
      <c r="H130" s="592"/>
      <c r="I130" s="593"/>
      <c r="J130" s="592"/>
    </row>
    <row r="131" spans="2:10" ht="18">
      <c r="B131" s="293" t="s">
        <v>56</v>
      </c>
      <c r="C131" s="565" t="s">
        <v>277</v>
      </c>
      <c r="D131" s="566"/>
      <c r="E131" s="566"/>
      <c r="F131" s="566"/>
      <c r="G131" s="566"/>
      <c r="H131" s="566"/>
      <c r="I131" s="566"/>
      <c r="J131" s="566"/>
    </row>
    <row r="132" spans="2:10" ht="18" customHeight="1">
      <c r="B132" s="294" t="s">
        <v>261</v>
      </c>
      <c r="C132" s="595" t="s">
        <v>262</v>
      </c>
      <c r="D132" s="595"/>
      <c r="E132" s="595"/>
      <c r="F132" s="595"/>
      <c r="G132" s="595"/>
      <c r="H132" s="595"/>
      <c r="I132" s="595"/>
      <c r="J132" s="595"/>
    </row>
    <row r="133" spans="2:10" ht="18">
      <c r="B133" s="295" t="s">
        <v>223</v>
      </c>
      <c r="C133" s="550" t="s">
        <v>276</v>
      </c>
      <c r="D133" s="551"/>
      <c r="E133" s="551"/>
      <c r="F133" s="551"/>
      <c r="G133" s="551"/>
      <c r="H133" s="551"/>
      <c r="I133" s="551"/>
      <c r="J133" s="551"/>
    </row>
    <row r="134" spans="2:10" ht="18" customHeight="1">
      <c r="B134" s="296">
        <v>3</v>
      </c>
      <c r="C134" s="549" t="s">
        <v>265</v>
      </c>
      <c r="D134" s="549"/>
      <c r="E134" s="549"/>
      <c r="F134" s="549"/>
      <c r="G134" s="549"/>
      <c r="H134" s="549"/>
      <c r="I134" s="549"/>
      <c r="J134" s="549"/>
    </row>
    <row r="135" spans="2:10" ht="18" customHeight="1">
      <c r="B135" s="246">
        <v>2</v>
      </c>
      <c r="C135" s="594" t="s">
        <v>306</v>
      </c>
      <c r="D135" s="594"/>
      <c r="E135" s="594"/>
      <c r="F135" s="594"/>
      <c r="G135" s="594"/>
      <c r="H135" s="594"/>
      <c r="I135" s="594"/>
      <c r="J135" s="594"/>
    </row>
    <row r="136" spans="2:10" ht="18" customHeight="1">
      <c r="B136" s="297" t="s">
        <v>292</v>
      </c>
      <c r="C136" s="591" t="s">
        <v>293</v>
      </c>
      <c r="D136" s="591"/>
      <c r="E136" s="591"/>
      <c r="F136" s="591"/>
      <c r="G136" s="591"/>
      <c r="H136" s="591"/>
      <c r="I136" s="591"/>
      <c r="J136" s="591"/>
    </row>
    <row r="137" spans="2:10" ht="18" customHeight="1">
      <c r="B137" s="298" t="s">
        <v>55</v>
      </c>
      <c r="C137" s="547" t="s">
        <v>263</v>
      </c>
      <c r="D137" s="547"/>
      <c r="E137" s="547"/>
      <c r="F137" s="547"/>
      <c r="G137" s="547"/>
      <c r="H137" s="547"/>
      <c r="I137" s="547"/>
      <c r="J137" s="547"/>
    </row>
    <row r="138" spans="2:10" ht="18" customHeight="1">
      <c r="B138" s="299" t="s">
        <v>54</v>
      </c>
      <c r="C138" s="548" t="s">
        <v>264</v>
      </c>
      <c r="D138" s="548"/>
      <c r="E138" s="548"/>
      <c r="F138" s="548"/>
      <c r="G138" s="548"/>
      <c r="H138" s="548"/>
      <c r="I138" s="548"/>
      <c r="J138" s="548"/>
    </row>
  </sheetData>
  <sheetProtection formatCells="0" formatColumns="0" formatRows="0" insertColumns="0" insertRows="0" insertHyperlinks="0" deleteColumns="0" deleteRows="0" sort="0" autoFilter="0" pivotTables="0"/>
  <mergeCells count="60">
    <mergeCell ref="B10:I10"/>
    <mergeCell ref="B8:I8"/>
    <mergeCell ref="C136:J136"/>
    <mergeCell ref="B130:J130"/>
    <mergeCell ref="C135:J135"/>
    <mergeCell ref="AO7:AP7"/>
    <mergeCell ref="AM9:AN9"/>
    <mergeCell ref="C132:J132"/>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131:J131"/>
    <mergeCell ref="X1:AS1"/>
    <mergeCell ref="X2:X3"/>
    <mergeCell ref="W4:W5"/>
    <mergeCell ref="AO2:AP3"/>
    <mergeCell ref="A4:N5"/>
    <mergeCell ref="V2:V5"/>
    <mergeCell ref="Y2:AD2"/>
    <mergeCell ref="Y3:AD3"/>
    <mergeCell ref="W2:W3"/>
    <mergeCell ref="W9:X9"/>
    <mergeCell ref="C137:J137"/>
    <mergeCell ref="C138:J138"/>
    <mergeCell ref="C134:J134"/>
    <mergeCell ref="C133:J133"/>
    <mergeCell ref="A1:R1"/>
    <mergeCell ref="A2:R2"/>
    <mergeCell ref="A3:R3"/>
    <mergeCell ref="A124:AS129"/>
    <mergeCell ref="AO6:AS6"/>
  </mergeCells>
  <hyperlinks>
    <hyperlink ref="A3" r:id="rId1" display="http://www.antraktsinema.com"/>
  </hyperlinks>
  <printOptions/>
  <pageMargins left="0.3" right="0.13" top="0.18" bottom="0.21" header="0.13" footer="0.16"/>
  <pageSetup orientation="landscape" paperSize="9" scale="40" r:id="rId3"/>
  <ignoredErrors>
    <ignoredError sqref="AA123 AQ123 AE123:AF123 AC123 AI123:AN123" 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10" t="s">
        <v>47</v>
      </c>
      <c r="B1" s="611"/>
      <c r="C1" s="611"/>
      <c r="D1" s="611"/>
      <c r="E1" s="605">
        <v>20</v>
      </c>
      <c r="F1" s="605"/>
    </row>
    <row r="2" spans="1:6" s="2" customFormat="1" ht="24" customHeight="1">
      <c r="A2" s="612" t="s">
        <v>48</v>
      </c>
      <c r="B2" s="613"/>
      <c r="C2" s="613"/>
      <c r="D2" s="613"/>
      <c r="E2" s="606"/>
      <c r="F2" s="606"/>
    </row>
    <row r="3" spans="1:6" s="2" customFormat="1" ht="27" thickBot="1">
      <c r="A3" s="556" t="s">
        <v>46</v>
      </c>
      <c r="B3" s="557"/>
      <c r="C3" s="557"/>
      <c r="D3" s="557"/>
      <c r="E3" s="607"/>
      <c r="F3" s="607"/>
    </row>
    <row r="4" spans="1:6" s="2" customFormat="1" ht="32.25" customHeight="1">
      <c r="A4" s="614" t="s">
        <v>445</v>
      </c>
      <c r="B4" s="615"/>
      <c r="C4" s="615"/>
      <c r="D4" s="615"/>
      <c r="E4" s="3"/>
      <c r="F4" s="3"/>
    </row>
    <row r="5" spans="1:6" s="2" customFormat="1" ht="33" customHeight="1" thickBot="1">
      <c r="A5" s="616"/>
      <c r="B5" s="616"/>
      <c r="C5" s="616"/>
      <c r="D5" s="616"/>
      <c r="E5" s="4"/>
      <c r="F5" s="4"/>
    </row>
    <row r="6" spans="1:6" s="5" customFormat="1" ht="15.75" customHeight="1" thickBot="1">
      <c r="A6" s="38"/>
      <c r="B6" s="617" t="s">
        <v>236</v>
      </c>
      <c r="C6" s="617"/>
      <c r="D6" s="617"/>
      <c r="E6" s="617"/>
      <c r="F6" s="617"/>
    </row>
    <row r="7" spans="1:6" s="6" customFormat="1" ht="12.75" customHeight="1">
      <c r="A7" s="39"/>
      <c r="B7" s="1"/>
      <c r="C7" s="1"/>
      <c r="D7" s="1"/>
      <c r="E7" s="609" t="s">
        <v>11</v>
      </c>
      <c r="F7" s="609"/>
    </row>
    <row r="8" spans="1:6" s="6" customFormat="1" ht="13.5" thickBot="1">
      <c r="A8" s="40"/>
      <c r="B8" s="8" t="s">
        <v>9</v>
      </c>
      <c r="C8" s="61" t="s">
        <v>76</v>
      </c>
      <c r="D8" s="61" t="s">
        <v>62</v>
      </c>
      <c r="E8" s="7" t="s">
        <v>7</v>
      </c>
      <c r="F8" s="7" t="s">
        <v>6</v>
      </c>
    </row>
    <row r="9" spans="1:6" s="9" customFormat="1" ht="12.75" customHeight="1">
      <c r="A9" s="85"/>
      <c r="B9" s="101"/>
      <c r="C9" s="102"/>
      <c r="D9" s="102"/>
      <c r="E9" s="608" t="s">
        <v>43</v>
      </c>
      <c r="F9" s="608"/>
    </row>
    <row r="10" spans="1:6" s="9" customFormat="1" ht="13.5" thickBot="1">
      <c r="A10" s="95"/>
      <c r="B10" s="106" t="s">
        <v>21</v>
      </c>
      <c r="C10" s="107" t="s">
        <v>75</v>
      </c>
      <c r="D10" s="107" t="s">
        <v>63</v>
      </c>
      <c r="E10" s="108" t="s">
        <v>38</v>
      </c>
      <c r="F10" s="108" t="s">
        <v>35</v>
      </c>
    </row>
    <row r="11" spans="1:6" s="10" customFormat="1" ht="13.5" customHeight="1">
      <c r="A11" s="105">
        <v>1</v>
      </c>
      <c r="B11" s="337" t="s">
        <v>400</v>
      </c>
      <c r="C11" s="63" t="s">
        <v>217</v>
      </c>
      <c r="D11" s="338" t="s">
        <v>401</v>
      </c>
      <c r="E11" s="96">
        <v>1301811</v>
      </c>
      <c r="F11" s="109">
        <v>114359</v>
      </c>
    </row>
    <row r="12" spans="1:6" s="10" customFormat="1" ht="13.5" customHeight="1">
      <c r="A12" s="103">
        <v>2</v>
      </c>
      <c r="B12" s="261" t="s">
        <v>451</v>
      </c>
      <c r="C12" s="65" t="s">
        <v>453</v>
      </c>
      <c r="D12" s="68" t="s">
        <v>452</v>
      </c>
      <c r="E12" s="97">
        <v>1169860</v>
      </c>
      <c r="F12" s="110">
        <v>108158</v>
      </c>
    </row>
    <row r="13" spans="1:6" s="10" customFormat="1" ht="13.5" customHeight="1">
      <c r="A13" s="103">
        <v>3</v>
      </c>
      <c r="B13" s="766" t="s">
        <v>141</v>
      </c>
      <c r="C13" s="767" t="s">
        <v>142</v>
      </c>
      <c r="D13" s="768" t="s">
        <v>141</v>
      </c>
      <c r="E13" s="97">
        <v>909915</v>
      </c>
      <c r="F13" s="110">
        <v>95448</v>
      </c>
    </row>
    <row r="14" spans="1:6" s="10" customFormat="1" ht="13.5" customHeight="1">
      <c r="A14" s="103">
        <v>4</v>
      </c>
      <c r="B14" s="769" t="s">
        <v>350</v>
      </c>
      <c r="C14" s="767" t="s">
        <v>351</v>
      </c>
      <c r="D14" s="770" t="s">
        <v>350</v>
      </c>
      <c r="E14" s="97">
        <v>643529</v>
      </c>
      <c r="F14" s="110">
        <v>62642</v>
      </c>
    </row>
    <row r="15" spans="1:6" s="10" customFormat="1" ht="13.5" customHeight="1">
      <c r="A15" s="103">
        <v>5</v>
      </c>
      <c r="B15" s="261" t="s">
        <v>408</v>
      </c>
      <c r="C15" s="65" t="s">
        <v>93</v>
      </c>
      <c r="D15" s="68" t="s">
        <v>409</v>
      </c>
      <c r="E15" s="97">
        <v>383950</v>
      </c>
      <c r="F15" s="110">
        <v>31165</v>
      </c>
    </row>
    <row r="16" spans="1:6" s="10" customFormat="1" ht="13.5" customHeight="1">
      <c r="A16" s="103">
        <v>6</v>
      </c>
      <c r="B16" s="248" t="s">
        <v>222</v>
      </c>
      <c r="C16" s="65" t="s">
        <v>213</v>
      </c>
      <c r="D16" s="67" t="s">
        <v>222</v>
      </c>
      <c r="E16" s="97">
        <v>337394</v>
      </c>
      <c r="F16" s="110">
        <v>31569</v>
      </c>
    </row>
    <row r="17" spans="1:6" s="10" customFormat="1" ht="13.5" customHeight="1">
      <c r="A17" s="103">
        <v>7</v>
      </c>
      <c r="B17" s="245" t="s">
        <v>454</v>
      </c>
      <c r="C17" s="65" t="s">
        <v>91</v>
      </c>
      <c r="D17" s="72" t="s">
        <v>447</v>
      </c>
      <c r="E17" s="97">
        <v>330812</v>
      </c>
      <c r="F17" s="110">
        <v>30422</v>
      </c>
    </row>
    <row r="18" spans="1:6" s="10" customFormat="1" ht="13.5" customHeight="1">
      <c r="A18" s="103">
        <v>8</v>
      </c>
      <c r="B18" s="245" t="s">
        <v>221</v>
      </c>
      <c r="C18" s="65" t="s">
        <v>96</v>
      </c>
      <c r="D18" s="68" t="s">
        <v>146</v>
      </c>
      <c r="E18" s="97">
        <v>265885</v>
      </c>
      <c r="F18" s="110">
        <v>24745</v>
      </c>
    </row>
    <row r="19" spans="1:6" s="10" customFormat="1" ht="13.5" customHeight="1">
      <c r="A19" s="103">
        <v>9</v>
      </c>
      <c r="B19" s="771" t="s">
        <v>398</v>
      </c>
      <c r="C19" s="772" t="s">
        <v>399</v>
      </c>
      <c r="D19" s="772" t="s">
        <v>398</v>
      </c>
      <c r="E19" s="97">
        <v>203995.5</v>
      </c>
      <c r="F19" s="110">
        <v>17364</v>
      </c>
    </row>
    <row r="20" spans="1:6" s="10" customFormat="1" ht="13.5" customHeight="1">
      <c r="A20" s="103">
        <v>10</v>
      </c>
      <c r="B20" s="243" t="s">
        <v>448</v>
      </c>
      <c r="C20" s="65" t="s">
        <v>126</v>
      </c>
      <c r="D20" s="70" t="s">
        <v>449</v>
      </c>
      <c r="E20" s="97">
        <v>189710.5</v>
      </c>
      <c r="F20" s="110">
        <v>15379</v>
      </c>
    </row>
    <row r="21" spans="1:6" s="10" customFormat="1" ht="13.5" customHeight="1">
      <c r="A21" s="103">
        <v>11</v>
      </c>
      <c r="B21" s="248" t="s">
        <v>144</v>
      </c>
      <c r="C21" s="65" t="s">
        <v>126</v>
      </c>
      <c r="D21" s="67" t="s">
        <v>145</v>
      </c>
      <c r="E21" s="97">
        <v>127132</v>
      </c>
      <c r="F21" s="110">
        <v>15448</v>
      </c>
    </row>
    <row r="22" spans="1:6" s="10" customFormat="1" ht="13.5" customHeight="1">
      <c r="A22" s="103">
        <v>12</v>
      </c>
      <c r="B22" s="261" t="s">
        <v>410</v>
      </c>
      <c r="C22" s="65" t="s">
        <v>413</v>
      </c>
      <c r="D22" s="68" t="s">
        <v>412</v>
      </c>
      <c r="E22" s="97">
        <v>117235</v>
      </c>
      <c r="F22" s="110">
        <v>8019</v>
      </c>
    </row>
    <row r="23" spans="1:6" s="10" customFormat="1" ht="13.5" customHeight="1">
      <c r="A23" s="103">
        <v>13</v>
      </c>
      <c r="B23" s="766" t="s">
        <v>340</v>
      </c>
      <c r="C23" s="768" t="s">
        <v>342</v>
      </c>
      <c r="D23" s="768" t="s">
        <v>340</v>
      </c>
      <c r="E23" s="97">
        <v>84128.5</v>
      </c>
      <c r="F23" s="110">
        <v>10310</v>
      </c>
    </row>
    <row r="24" spans="1:6" s="10" customFormat="1" ht="13.5" customHeight="1">
      <c r="A24" s="103">
        <v>14</v>
      </c>
      <c r="B24" s="243" t="s">
        <v>347</v>
      </c>
      <c r="C24" s="65" t="s">
        <v>126</v>
      </c>
      <c r="D24" s="70" t="s">
        <v>359</v>
      </c>
      <c r="E24" s="97">
        <v>83936</v>
      </c>
      <c r="F24" s="110">
        <v>8018</v>
      </c>
    </row>
    <row r="25" spans="1:6" s="10" customFormat="1" ht="13.5" customHeight="1">
      <c r="A25" s="103">
        <v>15</v>
      </c>
      <c r="B25" s="243" t="s">
        <v>348</v>
      </c>
      <c r="C25" s="65" t="s">
        <v>126</v>
      </c>
      <c r="D25" s="70" t="s">
        <v>360</v>
      </c>
      <c r="E25" s="97">
        <v>61086</v>
      </c>
      <c r="F25" s="110">
        <v>6047</v>
      </c>
    </row>
    <row r="26" spans="1:6" s="10" customFormat="1" ht="13.5" customHeight="1">
      <c r="A26" s="103">
        <v>16</v>
      </c>
      <c r="B26" s="773" t="s">
        <v>151</v>
      </c>
      <c r="C26" s="767" t="s">
        <v>218</v>
      </c>
      <c r="D26" s="774" t="s">
        <v>151</v>
      </c>
      <c r="E26" s="97">
        <v>39477</v>
      </c>
      <c r="F26" s="110">
        <v>5589</v>
      </c>
    </row>
    <row r="27" spans="1:6" s="10" customFormat="1" ht="13.5" customHeight="1">
      <c r="A27" s="103">
        <v>17</v>
      </c>
      <c r="B27" s="773" t="s">
        <v>107</v>
      </c>
      <c r="C27" s="774" t="s">
        <v>123</v>
      </c>
      <c r="D27" s="774" t="s">
        <v>107</v>
      </c>
      <c r="E27" s="97">
        <v>35070</v>
      </c>
      <c r="F27" s="110">
        <v>4899</v>
      </c>
    </row>
    <row r="28" spans="1:6" s="10" customFormat="1" ht="13.5" customHeight="1">
      <c r="A28" s="103">
        <v>18</v>
      </c>
      <c r="B28" s="775" t="s">
        <v>110</v>
      </c>
      <c r="C28" s="767" t="s">
        <v>113</v>
      </c>
      <c r="D28" s="767" t="s">
        <v>110</v>
      </c>
      <c r="E28" s="97">
        <v>31516.5</v>
      </c>
      <c r="F28" s="110">
        <v>4817</v>
      </c>
    </row>
    <row r="29" spans="1:6" s="10" customFormat="1" ht="13.5" customHeight="1">
      <c r="A29" s="103">
        <v>19</v>
      </c>
      <c r="B29" s="243" t="s">
        <v>344</v>
      </c>
      <c r="C29" s="65" t="s">
        <v>345</v>
      </c>
      <c r="D29" s="70" t="s">
        <v>346</v>
      </c>
      <c r="E29" s="97">
        <v>30491</v>
      </c>
      <c r="F29" s="110">
        <v>2618</v>
      </c>
    </row>
    <row r="30" spans="1:6" s="10" customFormat="1" ht="13.5" customHeight="1" thickBot="1">
      <c r="A30" s="104">
        <v>20</v>
      </c>
      <c r="B30" s="245" t="s">
        <v>196</v>
      </c>
      <c r="C30" s="65" t="s">
        <v>212</v>
      </c>
      <c r="D30" s="72" t="s">
        <v>203</v>
      </c>
      <c r="E30" s="98">
        <v>27661</v>
      </c>
      <c r="F30" s="111">
        <v>3748</v>
      </c>
    </row>
    <row r="31" spans="1:6" ht="18">
      <c r="A31" s="596" t="s">
        <v>14</v>
      </c>
      <c r="B31" s="597"/>
      <c r="C31" s="597"/>
      <c r="D31" s="597"/>
      <c r="E31" s="597"/>
      <c r="F31" s="598"/>
    </row>
    <row r="32" spans="1:6" ht="18">
      <c r="A32" s="599"/>
      <c r="B32" s="600"/>
      <c r="C32" s="600"/>
      <c r="D32" s="600"/>
      <c r="E32" s="600"/>
      <c r="F32" s="601"/>
    </row>
    <row r="33" spans="1:6" ht="18">
      <c r="A33" s="599"/>
      <c r="B33" s="600"/>
      <c r="C33" s="600"/>
      <c r="D33" s="600"/>
      <c r="E33" s="600"/>
      <c r="F33" s="601"/>
    </row>
    <row r="34" spans="1:6" ht="18">
      <c r="A34" s="599"/>
      <c r="B34" s="600"/>
      <c r="C34" s="600"/>
      <c r="D34" s="600"/>
      <c r="E34" s="600"/>
      <c r="F34" s="601"/>
    </row>
    <row r="35" spans="1:6" ht="18">
      <c r="A35" s="599"/>
      <c r="B35" s="600"/>
      <c r="C35" s="600"/>
      <c r="D35" s="600"/>
      <c r="E35" s="600"/>
      <c r="F35" s="601"/>
    </row>
    <row r="36" spans="1:6" ht="18.75" thickBot="1">
      <c r="A36" s="602"/>
      <c r="B36" s="603"/>
      <c r="C36" s="603"/>
      <c r="D36" s="603"/>
      <c r="E36" s="603"/>
      <c r="F36" s="604"/>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10" t="s">
        <v>305</v>
      </c>
      <c r="B1" s="611"/>
      <c r="C1" s="611"/>
      <c r="D1" s="611"/>
      <c r="E1" s="605">
        <v>20</v>
      </c>
      <c r="F1" s="605"/>
    </row>
    <row r="2" spans="1:6" s="2" customFormat="1" ht="24" customHeight="1">
      <c r="A2" s="612" t="s">
        <v>48</v>
      </c>
      <c r="B2" s="613"/>
      <c r="C2" s="613"/>
      <c r="D2" s="613"/>
      <c r="E2" s="606"/>
      <c r="F2" s="606"/>
    </row>
    <row r="3" spans="1:6" s="2" customFormat="1" ht="27" thickBot="1">
      <c r="A3" s="556" t="s">
        <v>46</v>
      </c>
      <c r="B3" s="557"/>
      <c r="C3" s="557"/>
      <c r="D3" s="557"/>
      <c r="E3" s="607"/>
      <c r="F3" s="607"/>
    </row>
    <row r="4" spans="1:6" s="2" customFormat="1" ht="32.25" customHeight="1">
      <c r="A4" s="614" t="s">
        <v>415</v>
      </c>
      <c r="B4" s="615"/>
      <c r="C4" s="615"/>
      <c r="D4" s="615"/>
      <c r="E4" s="3"/>
      <c r="F4" s="3"/>
    </row>
    <row r="5" spans="1:6" s="2" customFormat="1" ht="33" customHeight="1" thickBot="1">
      <c r="A5" s="616"/>
      <c r="B5" s="616"/>
      <c r="C5" s="616"/>
      <c r="D5" s="616"/>
      <c r="E5" s="4"/>
      <c r="F5" s="4"/>
    </row>
    <row r="6" spans="1:6" s="5" customFormat="1" ht="15.75" customHeight="1" thickBot="1">
      <c r="A6" s="38"/>
      <c r="B6" s="617" t="s">
        <v>236</v>
      </c>
      <c r="C6" s="617"/>
      <c r="D6" s="617"/>
      <c r="E6" s="617"/>
      <c r="F6" s="617"/>
    </row>
    <row r="7" spans="1:6" s="6" customFormat="1" ht="12.75" customHeight="1">
      <c r="A7" s="39"/>
      <c r="B7" s="1"/>
      <c r="C7" s="1"/>
      <c r="D7" s="1"/>
      <c r="E7" s="609" t="s">
        <v>11</v>
      </c>
      <c r="F7" s="609"/>
    </row>
    <row r="8" spans="1:6" s="6" customFormat="1" ht="13.5" thickBot="1">
      <c r="A8" s="40"/>
      <c r="B8" s="8" t="s">
        <v>9</v>
      </c>
      <c r="C8" s="61" t="s">
        <v>76</v>
      </c>
      <c r="D8" s="61" t="s">
        <v>62</v>
      </c>
      <c r="E8" s="7" t="s">
        <v>7</v>
      </c>
      <c r="F8" s="7" t="s">
        <v>6</v>
      </c>
    </row>
    <row r="9" spans="1:6" s="9" customFormat="1" ht="12.75" customHeight="1">
      <c r="A9" s="85"/>
      <c r="B9" s="101"/>
      <c r="C9" s="102"/>
      <c r="D9" s="102"/>
      <c r="E9" s="608" t="s">
        <v>43</v>
      </c>
      <c r="F9" s="608"/>
    </row>
    <row r="10" spans="1:6" s="9" customFormat="1" ht="13.5" thickBot="1">
      <c r="A10" s="95"/>
      <c r="B10" s="106" t="s">
        <v>21</v>
      </c>
      <c r="C10" s="107" t="s">
        <v>75</v>
      </c>
      <c r="D10" s="107" t="s">
        <v>63</v>
      </c>
      <c r="E10" s="108" t="s">
        <v>38</v>
      </c>
      <c r="F10" s="108" t="s">
        <v>35</v>
      </c>
    </row>
    <row r="11" spans="1:6" s="10" customFormat="1" ht="13.5" customHeight="1">
      <c r="A11" s="105">
        <v>1</v>
      </c>
      <c r="B11" s="436" t="s">
        <v>400</v>
      </c>
      <c r="C11" s="63" t="s">
        <v>217</v>
      </c>
      <c r="D11" s="338" t="s">
        <v>401</v>
      </c>
      <c r="E11" s="302">
        <v>2186377</v>
      </c>
      <c r="F11" s="309">
        <v>209171</v>
      </c>
    </row>
    <row r="12" spans="1:6" s="10" customFormat="1" ht="13.5" customHeight="1">
      <c r="A12" s="103">
        <v>2</v>
      </c>
      <c r="B12" s="437" t="s">
        <v>350</v>
      </c>
      <c r="C12" s="431" t="s">
        <v>351</v>
      </c>
      <c r="D12" s="432" t="s">
        <v>350</v>
      </c>
      <c r="E12" s="303">
        <v>1545867</v>
      </c>
      <c r="F12" s="310">
        <v>166896</v>
      </c>
    </row>
    <row r="13" spans="1:6" s="10" customFormat="1" ht="13.5" customHeight="1">
      <c r="A13" s="103">
        <v>3</v>
      </c>
      <c r="B13" s="438" t="s">
        <v>141</v>
      </c>
      <c r="C13" s="431" t="s">
        <v>142</v>
      </c>
      <c r="D13" s="433" t="s">
        <v>141</v>
      </c>
      <c r="E13" s="303">
        <v>1536557</v>
      </c>
      <c r="F13" s="310">
        <v>171960</v>
      </c>
    </row>
    <row r="14" spans="1:6" s="10" customFormat="1" ht="13.5" customHeight="1">
      <c r="A14" s="103">
        <v>4</v>
      </c>
      <c r="B14" s="439" t="s">
        <v>408</v>
      </c>
      <c r="C14" s="65" t="s">
        <v>93</v>
      </c>
      <c r="D14" s="68" t="s">
        <v>409</v>
      </c>
      <c r="E14" s="304">
        <v>777874</v>
      </c>
      <c r="F14" s="311">
        <v>70890</v>
      </c>
    </row>
    <row r="15" spans="1:6" s="10" customFormat="1" ht="13.5" customHeight="1">
      <c r="A15" s="103">
        <v>5</v>
      </c>
      <c r="B15" s="132" t="s">
        <v>222</v>
      </c>
      <c r="C15" s="65" t="s">
        <v>213</v>
      </c>
      <c r="D15" s="67" t="s">
        <v>222</v>
      </c>
      <c r="E15" s="305">
        <v>703674</v>
      </c>
      <c r="F15" s="312">
        <v>71922</v>
      </c>
    </row>
    <row r="16" spans="1:6" s="10" customFormat="1" ht="13.5" customHeight="1">
      <c r="A16" s="103">
        <v>6</v>
      </c>
      <c r="B16" s="134" t="s">
        <v>221</v>
      </c>
      <c r="C16" s="65" t="s">
        <v>96</v>
      </c>
      <c r="D16" s="68" t="s">
        <v>146</v>
      </c>
      <c r="E16" s="305">
        <v>564431</v>
      </c>
      <c r="F16" s="312">
        <v>57561</v>
      </c>
    </row>
    <row r="17" spans="1:6" s="10" customFormat="1" ht="13.5" customHeight="1">
      <c r="A17" s="103">
        <v>7</v>
      </c>
      <c r="B17" s="289" t="s">
        <v>348</v>
      </c>
      <c r="C17" s="65" t="s">
        <v>126</v>
      </c>
      <c r="D17" s="70" t="s">
        <v>360</v>
      </c>
      <c r="E17" s="305">
        <v>541400</v>
      </c>
      <c r="F17" s="312">
        <v>52837</v>
      </c>
    </row>
    <row r="18" spans="1:6" s="10" customFormat="1" ht="13.5" customHeight="1">
      <c r="A18" s="103">
        <v>8</v>
      </c>
      <c r="B18" s="442" t="s">
        <v>398</v>
      </c>
      <c r="C18" s="434" t="s">
        <v>399</v>
      </c>
      <c r="D18" s="434" t="s">
        <v>398</v>
      </c>
      <c r="E18" s="306">
        <v>357713</v>
      </c>
      <c r="F18" s="313">
        <v>33400</v>
      </c>
    </row>
    <row r="19" spans="1:6" s="10" customFormat="1" ht="13.5" customHeight="1">
      <c r="A19" s="103">
        <v>9</v>
      </c>
      <c r="B19" s="132" t="s">
        <v>144</v>
      </c>
      <c r="C19" s="65" t="s">
        <v>126</v>
      </c>
      <c r="D19" s="67" t="s">
        <v>145</v>
      </c>
      <c r="E19" s="303">
        <v>254766.5</v>
      </c>
      <c r="F19" s="310">
        <v>32088</v>
      </c>
    </row>
    <row r="20" spans="1:6" s="10" customFormat="1" ht="13.5" customHeight="1">
      <c r="A20" s="103">
        <v>10</v>
      </c>
      <c r="B20" s="439" t="s">
        <v>410</v>
      </c>
      <c r="C20" s="65" t="s">
        <v>413</v>
      </c>
      <c r="D20" s="68" t="s">
        <v>412</v>
      </c>
      <c r="E20" s="304">
        <v>209032</v>
      </c>
      <c r="F20" s="311">
        <v>15493</v>
      </c>
    </row>
    <row r="21" spans="1:6" s="10" customFormat="1" ht="13.5" customHeight="1">
      <c r="A21" s="103">
        <v>11</v>
      </c>
      <c r="B21" s="440" t="s">
        <v>151</v>
      </c>
      <c r="C21" s="431" t="s">
        <v>218</v>
      </c>
      <c r="D21" s="435" t="s">
        <v>151</v>
      </c>
      <c r="E21" s="307">
        <v>206447</v>
      </c>
      <c r="F21" s="310">
        <v>29112</v>
      </c>
    </row>
    <row r="22" spans="1:6" s="10" customFormat="1" ht="13.5" customHeight="1">
      <c r="A22" s="103">
        <v>12</v>
      </c>
      <c r="B22" s="438" t="s">
        <v>340</v>
      </c>
      <c r="C22" s="433" t="s">
        <v>342</v>
      </c>
      <c r="D22" s="433" t="s">
        <v>340</v>
      </c>
      <c r="E22" s="305">
        <v>198358.5</v>
      </c>
      <c r="F22" s="312">
        <v>25025</v>
      </c>
    </row>
    <row r="23" spans="1:6" s="10" customFormat="1" ht="13.5" customHeight="1">
      <c r="A23" s="103">
        <v>13</v>
      </c>
      <c r="B23" s="289" t="s">
        <v>347</v>
      </c>
      <c r="C23" s="65" t="s">
        <v>126</v>
      </c>
      <c r="D23" s="70" t="s">
        <v>359</v>
      </c>
      <c r="E23" s="305">
        <v>162247.5</v>
      </c>
      <c r="F23" s="312">
        <v>16768</v>
      </c>
    </row>
    <row r="24" spans="1:6" s="10" customFormat="1" ht="13.5" customHeight="1">
      <c r="A24" s="103">
        <v>14</v>
      </c>
      <c r="B24" s="289" t="s">
        <v>344</v>
      </c>
      <c r="C24" s="65" t="s">
        <v>345</v>
      </c>
      <c r="D24" s="70" t="s">
        <v>346</v>
      </c>
      <c r="E24" s="304">
        <v>155690</v>
      </c>
      <c r="F24" s="311">
        <v>13332</v>
      </c>
    </row>
    <row r="25" spans="1:6" s="10" customFormat="1" ht="13.5" customHeight="1">
      <c r="A25" s="103">
        <v>15</v>
      </c>
      <c r="B25" s="440" t="s">
        <v>107</v>
      </c>
      <c r="C25" s="435" t="s">
        <v>123</v>
      </c>
      <c r="D25" s="435" t="s">
        <v>107</v>
      </c>
      <c r="E25" s="305">
        <v>96969.5</v>
      </c>
      <c r="F25" s="312">
        <v>14898</v>
      </c>
    </row>
    <row r="26" spans="1:6" s="10" customFormat="1" ht="13.5" customHeight="1">
      <c r="A26" s="103">
        <v>16</v>
      </c>
      <c r="B26" s="441" t="s">
        <v>110</v>
      </c>
      <c r="C26" s="431" t="s">
        <v>113</v>
      </c>
      <c r="D26" s="431" t="s">
        <v>110</v>
      </c>
      <c r="E26" s="307">
        <v>70692.5</v>
      </c>
      <c r="F26" s="310">
        <v>10950</v>
      </c>
    </row>
    <row r="27" spans="1:6" s="10" customFormat="1" ht="13.5" customHeight="1">
      <c r="A27" s="103">
        <v>17</v>
      </c>
      <c r="B27" s="437" t="s">
        <v>104</v>
      </c>
      <c r="C27" s="431" t="s">
        <v>105</v>
      </c>
      <c r="D27" s="434" t="s">
        <v>104</v>
      </c>
      <c r="E27" s="304">
        <v>64482</v>
      </c>
      <c r="F27" s="311">
        <v>7909</v>
      </c>
    </row>
    <row r="28" spans="1:6" s="10" customFormat="1" ht="13.5" customHeight="1">
      <c r="A28" s="103">
        <v>18</v>
      </c>
      <c r="B28" s="439" t="s">
        <v>391</v>
      </c>
      <c r="C28" s="65" t="s">
        <v>393</v>
      </c>
      <c r="D28" s="68" t="s">
        <v>392</v>
      </c>
      <c r="E28" s="307">
        <v>63901</v>
      </c>
      <c r="F28" s="310">
        <v>5127</v>
      </c>
    </row>
    <row r="29" spans="1:6" s="10" customFormat="1" ht="13.5" customHeight="1">
      <c r="A29" s="103">
        <v>19</v>
      </c>
      <c r="B29" s="133" t="s">
        <v>214</v>
      </c>
      <c r="C29" s="70" t="s">
        <v>216</v>
      </c>
      <c r="D29" s="70" t="s">
        <v>215</v>
      </c>
      <c r="E29" s="303">
        <v>63689</v>
      </c>
      <c r="F29" s="310">
        <v>5622</v>
      </c>
    </row>
    <row r="30" spans="1:6" s="10" customFormat="1" ht="13.5" customHeight="1" thickBot="1">
      <c r="A30" s="104">
        <v>20</v>
      </c>
      <c r="B30" s="300" t="s">
        <v>196</v>
      </c>
      <c r="C30" s="73" t="s">
        <v>212</v>
      </c>
      <c r="D30" s="301" t="s">
        <v>203</v>
      </c>
      <c r="E30" s="308">
        <v>58983</v>
      </c>
      <c r="F30" s="314">
        <v>6637</v>
      </c>
    </row>
    <row r="31" spans="1:6" ht="18">
      <c r="A31" s="596" t="s">
        <v>14</v>
      </c>
      <c r="B31" s="597"/>
      <c r="C31" s="597"/>
      <c r="D31" s="597"/>
      <c r="E31" s="597"/>
      <c r="F31" s="598"/>
    </row>
    <row r="32" spans="1:6" ht="18">
      <c r="A32" s="599"/>
      <c r="B32" s="600"/>
      <c r="C32" s="600"/>
      <c r="D32" s="600"/>
      <c r="E32" s="600"/>
      <c r="F32" s="601"/>
    </row>
    <row r="33" spans="1:6" ht="18">
      <c r="A33" s="599"/>
      <c r="B33" s="600"/>
      <c r="C33" s="600"/>
      <c r="D33" s="600"/>
      <c r="E33" s="600"/>
      <c r="F33" s="601"/>
    </row>
    <row r="34" spans="1:6" ht="18">
      <c r="A34" s="599"/>
      <c r="B34" s="600"/>
      <c r="C34" s="600"/>
      <c r="D34" s="600"/>
      <c r="E34" s="600"/>
      <c r="F34" s="601"/>
    </row>
    <row r="35" spans="1:6" ht="18">
      <c r="A35" s="599"/>
      <c r="B35" s="600"/>
      <c r="C35" s="600"/>
      <c r="D35" s="600"/>
      <c r="E35" s="600"/>
      <c r="F35" s="601"/>
    </row>
    <row r="36" spans="1:6" ht="18.75" thickBot="1">
      <c r="A36" s="602"/>
      <c r="B36" s="603"/>
      <c r="C36" s="603"/>
      <c r="D36" s="603"/>
      <c r="E36" s="603"/>
      <c r="F36" s="604"/>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202"/>
  <sheetViews>
    <sheetView zoomScale="90" zoomScaleNormal="90" zoomScalePageLayoutView="0" workbookViewId="0" topLeftCell="A1">
      <selection activeCell="A2" sqref="A2"/>
    </sheetView>
  </sheetViews>
  <sheetFormatPr defaultColWidth="9.140625" defaultRowHeight="12.75"/>
  <cols>
    <col min="1" max="1" width="2.00390625" style="0" bestFit="1" customWidth="1"/>
    <col min="2" max="3" width="1.8515625" style="0" bestFit="1" customWidth="1"/>
    <col min="4" max="4" width="1.7109375" style="0" bestFit="1" customWidth="1"/>
    <col min="5" max="5" width="2.00390625" style="0" bestFit="1" customWidth="1"/>
    <col min="6" max="6" width="1.7109375" style="0" bestFit="1" customWidth="1"/>
    <col min="7" max="7" width="50.57421875" style="0" bestFit="1" customWidth="1"/>
    <col min="8" max="8" width="26.00390625" style="0" bestFit="1" customWidth="1"/>
    <col min="9" max="9" width="17.8515625" style="0" bestFit="1" customWidth="1"/>
    <col min="10" max="10" width="39.8515625" style="0" bestFit="1" customWidth="1"/>
    <col min="11" max="11" width="7.8515625" style="0" bestFit="1" customWidth="1"/>
    <col min="12" max="12" width="21.421875" style="0" bestFit="1" customWidth="1"/>
    <col min="13" max="13" width="6.7109375" style="0" bestFit="1" customWidth="1"/>
    <col min="14" max="14" width="5.421875" style="0" bestFit="1" customWidth="1"/>
    <col min="15" max="15" width="13.140625" style="0" bestFit="1" customWidth="1"/>
    <col min="16" max="16" width="8.421875" style="0" bestFit="1" customWidth="1"/>
    <col min="17" max="17" width="12.28125" style="0" bestFit="1" customWidth="1"/>
    <col min="18" max="18" width="8.8515625" style="0" bestFit="1" customWidth="1"/>
    <col min="19" max="19" width="7.8515625" style="0" bestFit="1" customWidth="1"/>
  </cols>
  <sheetData>
    <row r="1" spans="1:19" ht="13.5">
      <c r="A1" s="618" t="s">
        <v>457</v>
      </c>
      <c r="B1" s="619"/>
      <c r="C1" s="619"/>
      <c r="D1" s="619"/>
      <c r="E1" s="619"/>
      <c r="F1" s="619"/>
      <c r="G1" s="619"/>
      <c r="H1" s="619"/>
      <c r="I1" s="619"/>
      <c r="J1" s="619"/>
      <c r="K1" s="619"/>
      <c r="L1" s="619"/>
      <c r="M1" s="619"/>
      <c r="N1" s="619"/>
      <c r="O1" s="619"/>
      <c r="P1" s="619"/>
      <c r="Q1" s="619"/>
      <c r="R1" s="619"/>
      <c r="S1" s="620"/>
    </row>
    <row r="2" spans="1:19" ht="12.75">
      <c r="A2" s="474"/>
      <c r="B2" s="474"/>
      <c r="C2" s="474"/>
      <c r="D2" s="474"/>
      <c r="E2" s="474"/>
      <c r="F2" s="474"/>
      <c r="G2" s="474"/>
      <c r="H2" s="474"/>
      <c r="I2" s="474"/>
      <c r="J2" s="474"/>
      <c r="K2" s="474" t="s">
        <v>428</v>
      </c>
      <c r="L2" s="474"/>
      <c r="M2" s="474" t="s">
        <v>429</v>
      </c>
      <c r="N2" s="475"/>
      <c r="O2" s="476" t="s">
        <v>442</v>
      </c>
      <c r="P2" s="476" t="s">
        <v>442</v>
      </c>
      <c r="Q2" s="474" t="s">
        <v>314</v>
      </c>
      <c r="R2" s="474" t="s">
        <v>314</v>
      </c>
      <c r="S2" s="474" t="s">
        <v>430</v>
      </c>
    </row>
    <row r="3" spans="1:19" ht="13.5" thickBot="1">
      <c r="A3" s="621" t="s">
        <v>431</v>
      </c>
      <c r="B3" s="622"/>
      <c r="C3" s="622"/>
      <c r="D3" s="622"/>
      <c r="E3" s="622"/>
      <c r="F3" s="623"/>
      <c r="G3" s="477" t="s">
        <v>432</v>
      </c>
      <c r="H3" s="477" t="s">
        <v>433</v>
      </c>
      <c r="I3" s="477" t="s">
        <v>434</v>
      </c>
      <c r="J3" s="477" t="s">
        <v>435</v>
      </c>
      <c r="K3" s="477" t="s">
        <v>436</v>
      </c>
      <c r="L3" s="477" t="s">
        <v>437</v>
      </c>
      <c r="M3" s="477" t="s">
        <v>438</v>
      </c>
      <c r="N3" s="478" t="s">
        <v>310</v>
      </c>
      <c r="O3" s="479" t="s">
        <v>315</v>
      </c>
      <c r="P3" s="479" t="s">
        <v>316</v>
      </c>
      <c r="Q3" s="477" t="s">
        <v>315</v>
      </c>
      <c r="R3" s="477" t="s">
        <v>316</v>
      </c>
      <c r="S3" s="477" t="s">
        <v>440</v>
      </c>
    </row>
    <row r="4" spans="1:19" ht="15.75">
      <c r="A4" s="480"/>
      <c r="B4" s="480"/>
      <c r="C4" s="480"/>
      <c r="D4" s="480"/>
      <c r="E4" s="481"/>
      <c r="F4" s="481"/>
      <c r="G4" s="482" t="s">
        <v>100</v>
      </c>
      <c r="H4" s="339" t="s">
        <v>102</v>
      </c>
      <c r="I4" s="483" t="s">
        <v>79</v>
      </c>
      <c r="J4" s="484" t="s">
        <v>101</v>
      </c>
      <c r="K4" s="292">
        <v>40872</v>
      </c>
      <c r="L4" s="286" t="s">
        <v>68</v>
      </c>
      <c r="M4" s="485">
        <v>20</v>
      </c>
      <c r="N4" s="486">
        <v>6</v>
      </c>
      <c r="O4" s="487">
        <v>4568</v>
      </c>
      <c r="P4" s="488">
        <v>655</v>
      </c>
      <c r="Q4" s="489">
        <f>176767+122916.5+61599.5+22558.5+2646.5+4568</f>
        <v>391056</v>
      </c>
      <c r="R4" s="490">
        <f>14023+9525+5052+1961+507+655</f>
        <v>31723</v>
      </c>
      <c r="S4" s="491">
        <v>40907</v>
      </c>
    </row>
    <row r="5" spans="1:19" ht="15.75">
      <c r="A5" s="240"/>
      <c r="B5" s="240"/>
      <c r="C5" s="240"/>
      <c r="D5" s="240"/>
      <c r="E5" s="244"/>
      <c r="F5" s="252"/>
      <c r="G5" s="248" t="s">
        <v>100</v>
      </c>
      <c r="H5" s="65" t="s">
        <v>102</v>
      </c>
      <c r="I5" s="69" t="s">
        <v>79</v>
      </c>
      <c r="J5" s="67" t="s">
        <v>101</v>
      </c>
      <c r="K5" s="290">
        <v>40872</v>
      </c>
      <c r="L5" s="68" t="s">
        <v>68</v>
      </c>
      <c r="M5" s="372">
        <v>20</v>
      </c>
      <c r="N5" s="373">
        <v>8</v>
      </c>
      <c r="O5" s="423">
        <v>2545</v>
      </c>
      <c r="P5" s="424">
        <v>406</v>
      </c>
      <c r="Q5" s="393">
        <f>176767+122916.5+61599.5+22558.5+2646.5+4568+385+2545</f>
        <v>393986</v>
      </c>
      <c r="R5" s="398">
        <f>14023+9525+5052+1961+507+655+55+406</f>
        <v>32184</v>
      </c>
      <c r="S5" s="285">
        <v>40921</v>
      </c>
    </row>
    <row r="6" spans="1:19" ht="15.75">
      <c r="A6" s="240"/>
      <c r="B6" s="240"/>
      <c r="C6" s="240"/>
      <c r="D6" s="240"/>
      <c r="E6" s="244"/>
      <c r="F6" s="252"/>
      <c r="G6" s="248" t="s">
        <v>100</v>
      </c>
      <c r="H6" s="65" t="s">
        <v>102</v>
      </c>
      <c r="I6" s="69" t="s">
        <v>79</v>
      </c>
      <c r="J6" s="67" t="s">
        <v>101</v>
      </c>
      <c r="K6" s="290">
        <v>40872</v>
      </c>
      <c r="L6" s="68" t="s">
        <v>68</v>
      </c>
      <c r="M6" s="350">
        <v>20</v>
      </c>
      <c r="N6" s="492">
        <v>7</v>
      </c>
      <c r="O6" s="493">
        <v>385</v>
      </c>
      <c r="P6" s="494">
        <v>55</v>
      </c>
      <c r="Q6" s="495">
        <f>176767+122916.5+61599.5+22558.5+2646.5+4568+385</f>
        <v>391441</v>
      </c>
      <c r="R6" s="496">
        <f>14023+9525+5052+1961+507+655+55</f>
        <v>31778</v>
      </c>
      <c r="S6" s="285">
        <v>40914</v>
      </c>
    </row>
    <row r="7" spans="1:19" ht="15.75">
      <c r="A7" s="253"/>
      <c r="B7" s="253"/>
      <c r="C7" s="253"/>
      <c r="D7" s="253"/>
      <c r="E7" s="252"/>
      <c r="F7" s="239"/>
      <c r="G7" s="245" t="s">
        <v>196</v>
      </c>
      <c r="H7" s="65" t="s">
        <v>212</v>
      </c>
      <c r="I7" s="72" t="s">
        <v>124</v>
      </c>
      <c r="J7" s="72" t="s">
        <v>203</v>
      </c>
      <c r="K7" s="290">
        <v>40907</v>
      </c>
      <c r="L7" s="68" t="s">
        <v>12</v>
      </c>
      <c r="M7" s="372">
        <v>60</v>
      </c>
      <c r="N7" s="373">
        <v>1</v>
      </c>
      <c r="O7" s="497">
        <v>302499</v>
      </c>
      <c r="P7" s="498">
        <v>29010</v>
      </c>
      <c r="Q7" s="407">
        <v>302499</v>
      </c>
      <c r="R7" s="384">
        <v>29010</v>
      </c>
      <c r="S7" s="499">
        <v>40907</v>
      </c>
    </row>
    <row r="8" spans="1:19" ht="15.75">
      <c r="A8" s="240"/>
      <c r="B8" s="240"/>
      <c r="C8" s="240"/>
      <c r="D8" s="240"/>
      <c r="E8" s="244"/>
      <c r="F8" s="244"/>
      <c r="G8" s="245" t="s">
        <v>196</v>
      </c>
      <c r="H8" s="65" t="s">
        <v>212</v>
      </c>
      <c r="I8" s="72" t="s">
        <v>124</v>
      </c>
      <c r="J8" s="72" t="s">
        <v>203</v>
      </c>
      <c r="K8" s="290">
        <v>40907</v>
      </c>
      <c r="L8" s="68" t="s">
        <v>12</v>
      </c>
      <c r="M8" s="350">
        <v>60</v>
      </c>
      <c r="N8" s="274">
        <v>2</v>
      </c>
      <c r="O8" s="500">
        <v>246978</v>
      </c>
      <c r="P8" s="501">
        <v>22817</v>
      </c>
      <c r="Q8" s="502">
        <v>549477</v>
      </c>
      <c r="R8" s="503">
        <v>51827</v>
      </c>
      <c r="S8" s="285">
        <v>40914</v>
      </c>
    </row>
    <row r="9" spans="1:19" ht="15.75">
      <c r="A9" s="240"/>
      <c r="B9" s="240"/>
      <c r="C9" s="240"/>
      <c r="D9" s="240"/>
      <c r="E9" s="244"/>
      <c r="F9" s="244"/>
      <c r="G9" s="245" t="s">
        <v>196</v>
      </c>
      <c r="H9" s="65" t="s">
        <v>212</v>
      </c>
      <c r="I9" s="72" t="s">
        <v>124</v>
      </c>
      <c r="J9" s="72" t="s">
        <v>203</v>
      </c>
      <c r="K9" s="290">
        <v>40907</v>
      </c>
      <c r="L9" s="68" t="s">
        <v>12</v>
      </c>
      <c r="M9" s="372">
        <v>60</v>
      </c>
      <c r="N9" s="373">
        <v>3</v>
      </c>
      <c r="O9" s="419">
        <v>58983</v>
      </c>
      <c r="P9" s="420">
        <v>6637</v>
      </c>
      <c r="Q9" s="407">
        <v>608460</v>
      </c>
      <c r="R9" s="384">
        <v>58464</v>
      </c>
      <c r="S9" s="285">
        <v>40921</v>
      </c>
    </row>
    <row r="10" spans="1:19" ht="15.75">
      <c r="A10" s="265"/>
      <c r="B10" s="265"/>
      <c r="C10" s="253"/>
      <c r="D10" s="265"/>
      <c r="E10" s="251" t="s">
        <v>55</v>
      </c>
      <c r="F10" s="242" t="s">
        <v>54</v>
      </c>
      <c r="G10" s="504" t="s">
        <v>74</v>
      </c>
      <c r="H10" s="71" t="s">
        <v>80</v>
      </c>
      <c r="I10" s="71"/>
      <c r="J10" s="71" t="s">
        <v>74</v>
      </c>
      <c r="K10" s="290">
        <v>40851</v>
      </c>
      <c r="L10" s="68" t="s">
        <v>53</v>
      </c>
      <c r="M10" s="387">
        <v>247</v>
      </c>
      <c r="N10" s="403">
        <v>9</v>
      </c>
      <c r="O10" s="505">
        <v>184428</v>
      </c>
      <c r="P10" s="506">
        <v>33224</v>
      </c>
      <c r="Q10" s="404">
        <f>2260223+2366876.75+3859638+3137342+1906742.5+252.25+1189485.5+474275+250512+184428</f>
        <v>15629775</v>
      </c>
      <c r="R10" s="405">
        <f>286038+329194+554088+452220+278080+42+178270+68355+40409+33224</f>
        <v>2219920</v>
      </c>
      <c r="S10" s="499">
        <v>40907</v>
      </c>
    </row>
    <row r="11" spans="1:19" ht="15.75">
      <c r="A11" s="255"/>
      <c r="B11" s="255"/>
      <c r="C11" s="240"/>
      <c r="D11" s="255"/>
      <c r="E11" s="251" t="s">
        <v>55</v>
      </c>
      <c r="F11" s="242" t="s">
        <v>54</v>
      </c>
      <c r="G11" s="504" t="s">
        <v>74</v>
      </c>
      <c r="H11" s="71" t="s">
        <v>80</v>
      </c>
      <c r="I11" s="71"/>
      <c r="J11" s="71" t="s">
        <v>74</v>
      </c>
      <c r="K11" s="290">
        <v>40851</v>
      </c>
      <c r="L11" s="68" t="s">
        <v>53</v>
      </c>
      <c r="M11" s="355">
        <v>247</v>
      </c>
      <c r="N11" s="507">
        <v>10</v>
      </c>
      <c r="O11" s="508">
        <v>13126</v>
      </c>
      <c r="P11" s="501">
        <v>1975</v>
      </c>
      <c r="Q11" s="509">
        <f>2260223+2366876.75+3859638+3137342+1906742.5+252.25+1189485.5+474275+250512+184428+13126</f>
        <v>15642901</v>
      </c>
      <c r="R11" s="503">
        <f>286038+329194+554088+452220+278080+42+178270+68355+40409+33224+1975</f>
        <v>2221895</v>
      </c>
      <c r="S11" s="285">
        <v>40914</v>
      </c>
    </row>
    <row r="12" spans="1:19" ht="15.75">
      <c r="A12" s="255"/>
      <c r="B12" s="255"/>
      <c r="C12" s="240"/>
      <c r="D12" s="255"/>
      <c r="E12" s="251" t="s">
        <v>55</v>
      </c>
      <c r="F12" s="242" t="s">
        <v>54</v>
      </c>
      <c r="G12" s="504" t="s">
        <v>74</v>
      </c>
      <c r="H12" s="71" t="s">
        <v>80</v>
      </c>
      <c r="I12" s="71"/>
      <c r="J12" s="71" t="s">
        <v>74</v>
      </c>
      <c r="K12" s="290">
        <v>40851</v>
      </c>
      <c r="L12" s="68" t="s">
        <v>53</v>
      </c>
      <c r="M12" s="387">
        <v>247</v>
      </c>
      <c r="N12" s="403">
        <v>11</v>
      </c>
      <c r="O12" s="419">
        <v>754</v>
      </c>
      <c r="P12" s="420">
        <v>104</v>
      </c>
      <c r="Q12" s="404">
        <f>2260223+2366876.75+3859638+3137342+1906742.5+252.25+1189485.5+474275+250512+184428+13126+754</f>
        <v>15643655</v>
      </c>
      <c r="R12" s="405">
        <f>286038+329194+554088+452220+278080+42+178270+68355+40409+33224+1975+104</f>
        <v>2221999</v>
      </c>
      <c r="S12" s="285">
        <v>40921</v>
      </c>
    </row>
    <row r="13" spans="1:19" ht="15.75">
      <c r="A13" s="250" t="s">
        <v>223</v>
      </c>
      <c r="B13" s="253"/>
      <c r="C13" s="253"/>
      <c r="D13" s="253"/>
      <c r="E13" s="251" t="s">
        <v>55</v>
      </c>
      <c r="F13" s="252"/>
      <c r="G13" s="248" t="s">
        <v>272</v>
      </c>
      <c r="H13" s="65" t="s">
        <v>289</v>
      </c>
      <c r="I13" s="69" t="s">
        <v>85</v>
      </c>
      <c r="J13" s="67" t="s">
        <v>288</v>
      </c>
      <c r="K13" s="290">
        <v>40655</v>
      </c>
      <c r="L13" s="68" t="s">
        <v>68</v>
      </c>
      <c r="M13" s="372">
        <v>156</v>
      </c>
      <c r="N13" s="510">
        <v>24</v>
      </c>
      <c r="O13" s="423">
        <v>84</v>
      </c>
      <c r="P13" s="424">
        <v>12</v>
      </c>
      <c r="Q13" s="393">
        <f>633760.5+136320.5+35218.5+12632+4659.5+2946+8058+2678+3172+3399.5+598+564+1471+2243+357+860+1425.5+8382.5+1782+968+1958+1164+407.5+84</f>
        <v>865109</v>
      </c>
      <c r="R13" s="398">
        <f>74640+17307+4811+1875+917+522+1372+426+632+730+116+93+159+384+67+172+356+2088+446+190+480+372+60+12</f>
        <v>108227</v>
      </c>
      <c r="S13" s="499">
        <v>40907</v>
      </c>
    </row>
    <row r="14" spans="1:19" ht="15.75">
      <c r="A14" s="250" t="s">
        <v>223</v>
      </c>
      <c r="B14" s="240"/>
      <c r="C14" s="247" t="s">
        <v>292</v>
      </c>
      <c r="D14" s="240"/>
      <c r="E14" s="251" t="s">
        <v>55</v>
      </c>
      <c r="F14" s="252"/>
      <c r="G14" s="248" t="s">
        <v>365</v>
      </c>
      <c r="H14" s="67" t="s">
        <v>126</v>
      </c>
      <c r="I14" s="69"/>
      <c r="J14" s="67" t="s">
        <v>372</v>
      </c>
      <c r="K14" s="290">
        <v>40172</v>
      </c>
      <c r="L14" s="68" t="s">
        <v>68</v>
      </c>
      <c r="M14" s="350">
        <v>60</v>
      </c>
      <c r="N14" s="492">
        <v>40</v>
      </c>
      <c r="O14" s="493">
        <v>1425.5</v>
      </c>
      <c r="P14" s="494">
        <v>356</v>
      </c>
      <c r="Q14" s="495">
        <f>421775.5+397095.5+287050+215248.5+189819.5+180729.5+86816.5+23840+19148+14942.5+8798.5+9599+13618.5+4298+4028+3310+8547+6712.5+1803+1172+973+2291+380.5+3015+1103.5+65+2061.5+1262+1020+2232+2970+5074+2970+1188+250+200+70+4277+2138.5+1425.5</f>
        <v>1933318.5</v>
      </c>
      <c r="R14" s="496">
        <f>43739+40732+31780+27356+25902+24895+12153+4496+3179+3069+1650+2236+3335+954+829+540+1945+1297+429+261+173+594+53+613+200+10+480+240+102+533+743+1267+742+297+28+20+7+1068+534+356</f>
        <v>238837</v>
      </c>
      <c r="S14" s="285">
        <v>40914</v>
      </c>
    </row>
    <row r="15" spans="1:19" ht="15.75">
      <c r="A15" s="250" t="s">
        <v>223</v>
      </c>
      <c r="B15" s="253"/>
      <c r="C15" s="246">
        <v>2</v>
      </c>
      <c r="D15" s="247" t="s">
        <v>292</v>
      </c>
      <c r="E15" s="251" t="s">
        <v>55</v>
      </c>
      <c r="F15" s="252"/>
      <c r="G15" s="248" t="s">
        <v>144</v>
      </c>
      <c r="H15" s="65" t="s">
        <v>126</v>
      </c>
      <c r="I15" s="69" t="s">
        <v>89</v>
      </c>
      <c r="J15" s="67" t="s">
        <v>145</v>
      </c>
      <c r="K15" s="290">
        <v>40893</v>
      </c>
      <c r="L15" s="68" t="s">
        <v>68</v>
      </c>
      <c r="M15" s="372">
        <v>131</v>
      </c>
      <c r="N15" s="373">
        <v>3</v>
      </c>
      <c r="O15" s="423">
        <v>530345</v>
      </c>
      <c r="P15" s="424">
        <v>60063</v>
      </c>
      <c r="Q15" s="393">
        <f>1320389+1047397.5+530345</f>
        <v>2898131.5</v>
      </c>
      <c r="R15" s="398">
        <f>139659+113627+60063</f>
        <v>313349</v>
      </c>
      <c r="S15" s="499">
        <v>40907</v>
      </c>
    </row>
    <row r="16" spans="1:19" ht="15.75">
      <c r="A16" s="250" t="s">
        <v>223</v>
      </c>
      <c r="B16" s="240"/>
      <c r="C16" s="246">
        <v>2</v>
      </c>
      <c r="D16" s="247" t="s">
        <v>292</v>
      </c>
      <c r="E16" s="251" t="s">
        <v>55</v>
      </c>
      <c r="F16" s="252"/>
      <c r="G16" s="248" t="s">
        <v>144</v>
      </c>
      <c r="H16" s="65" t="s">
        <v>126</v>
      </c>
      <c r="I16" s="69" t="s">
        <v>89</v>
      </c>
      <c r="J16" s="67" t="s">
        <v>145</v>
      </c>
      <c r="K16" s="290">
        <v>40893</v>
      </c>
      <c r="L16" s="68" t="s">
        <v>68</v>
      </c>
      <c r="M16" s="350">
        <v>131</v>
      </c>
      <c r="N16" s="492">
        <v>4</v>
      </c>
      <c r="O16" s="493">
        <v>445722</v>
      </c>
      <c r="P16" s="494">
        <v>49146</v>
      </c>
      <c r="Q16" s="495">
        <f>1320389+1047397.5+530759.5+445722</f>
        <v>3344268</v>
      </c>
      <c r="R16" s="496">
        <f>139659+113627+60100+49146</f>
        <v>362532</v>
      </c>
      <c r="S16" s="285">
        <v>40914</v>
      </c>
    </row>
    <row r="17" spans="1:19" ht="15.75">
      <c r="A17" s="250" t="s">
        <v>223</v>
      </c>
      <c r="B17" s="240"/>
      <c r="C17" s="246">
        <v>2</v>
      </c>
      <c r="D17" s="247" t="s">
        <v>292</v>
      </c>
      <c r="E17" s="251" t="s">
        <v>55</v>
      </c>
      <c r="F17" s="252"/>
      <c r="G17" s="248" t="s">
        <v>144</v>
      </c>
      <c r="H17" s="65" t="s">
        <v>126</v>
      </c>
      <c r="I17" s="69" t="s">
        <v>89</v>
      </c>
      <c r="J17" s="67" t="s">
        <v>145</v>
      </c>
      <c r="K17" s="290">
        <v>40893</v>
      </c>
      <c r="L17" s="68" t="s">
        <v>68</v>
      </c>
      <c r="M17" s="372">
        <v>131</v>
      </c>
      <c r="N17" s="373">
        <v>5</v>
      </c>
      <c r="O17" s="423">
        <v>254766.5</v>
      </c>
      <c r="P17" s="424">
        <v>32088</v>
      </c>
      <c r="Q17" s="393">
        <f>1320389+1047397.5+530759.5+445722+254766.5</f>
        <v>3599034.5</v>
      </c>
      <c r="R17" s="398">
        <f>139659+113627+60100+49146+32088</f>
        <v>394620</v>
      </c>
      <c r="S17" s="285">
        <v>40921</v>
      </c>
    </row>
    <row r="18" spans="1:19" ht="15.75">
      <c r="A18" s="240"/>
      <c r="B18" s="240"/>
      <c r="C18" s="240"/>
      <c r="D18" s="240"/>
      <c r="E18" s="244"/>
      <c r="F18" s="242" t="s">
        <v>54</v>
      </c>
      <c r="G18" s="511" t="s">
        <v>67</v>
      </c>
      <c r="H18" s="67" t="s">
        <v>85</v>
      </c>
      <c r="I18" s="67"/>
      <c r="J18" s="67" t="s">
        <v>67</v>
      </c>
      <c r="K18" s="290">
        <v>40844</v>
      </c>
      <c r="L18" s="68" t="s">
        <v>68</v>
      </c>
      <c r="M18" s="372">
        <v>278</v>
      </c>
      <c r="N18" s="373">
        <v>12</v>
      </c>
      <c r="O18" s="423">
        <v>17222.5</v>
      </c>
      <c r="P18" s="424">
        <v>1888</v>
      </c>
      <c r="Q18" s="393">
        <f>2021467.25+4147826.75+1641146.5+1086471.5+837723.5+353523.5+115157+12431.5+1554+13261.5+3397.5+17222.5</f>
        <v>10251183</v>
      </c>
      <c r="R18" s="398">
        <f>231121+459388+190384+130345+104513+46481+14878+1830+250+1860+737+1888</f>
        <v>1183675</v>
      </c>
      <c r="S18" s="285">
        <v>40921</v>
      </c>
    </row>
    <row r="19" spans="1:19" ht="15.75">
      <c r="A19" s="253"/>
      <c r="B19" s="253"/>
      <c r="C19" s="253"/>
      <c r="D19" s="253"/>
      <c r="E19" s="252"/>
      <c r="F19" s="242" t="s">
        <v>54</v>
      </c>
      <c r="G19" s="511" t="s">
        <v>67</v>
      </c>
      <c r="H19" s="67" t="s">
        <v>85</v>
      </c>
      <c r="I19" s="67"/>
      <c r="J19" s="67" t="s">
        <v>67</v>
      </c>
      <c r="K19" s="290">
        <v>40844</v>
      </c>
      <c r="L19" s="68" t="s">
        <v>68</v>
      </c>
      <c r="M19" s="372">
        <v>278</v>
      </c>
      <c r="N19" s="373">
        <v>10</v>
      </c>
      <c r="O19" s="423">
        <v>13261.5</v>
      </c>
      <c r="P19" s="424">
        <v>1860</v>
      </c>
      <c r="Q19" s="393">
        <f>2021467.25+4147826.75+1641146.5+1086471.5+837723.5+353523.5+115157+12431.5+1554+13261.5</f>
        <v>10230563</v>
      </c>
      <c r="R19" s="398">
        <f>231121+459388+190384+130345+104513+46481+14878+1830+250+1860</f>
        <v>1181050</v>
      </c>
      <c r="S19" s="499">
        <v>40907</v>
      </c>
    </row>
    <row r="20" spans="1:19" ht="15.75">
      <c r="A20" s="240"/>
      <c r="B20" s="240"/>
      <c r="C20" s="240"/>
      <c r="D20" s="240"/>
      <c r="E20" s="244"/>
      <c r="F20" s="242" t="s">
        <v>54</v>
      </c>
      <c r="G20" s="511" t="s">
        <v>67</v>
      </c>
      <c r="H20" s="67" t="s">
        <v>85</v>
      </c>
      <c r="I20" s="67"/>
      <c r="J20" s="67" t="s">
        <v>67</v>
      </c>
      <c r="K20" s="290">
        <v>40844</v>
      </c>
      <c r="L20" s="68" t="s">
        <v>68</v>
      </c>
      <c r="M20" s="350">
        <v>278</v>
      </c>
      <c r="N20" s="492">
        <v>11</v>
      </c>
      <c r="O20" s="493">
        <v>3397.5</v>
      </c>
      <c r="P20" s="494">
        <v>737</v>
      </c>
      <c r="Q20" s="495">
        <f>2021467.25+4147826.75+1641146.5+1086471.5+837723.5+353523.5+115157+12431.5+1554+13261.5+3397.5</f>
        <v>10233960.5</v>
      </c>
      <c r="R20" s="496">
        <f>231121+459388+190384+130345+104513+46481+14878+1830+250+1860+737</f>
        <v>1181787</v>
      </c>
      <c r="S20" s="285">
        <v>40914</v>
      </c>
    </row>
    <row r="21" spans="1:19" ht="15.75">
      <c r="A21" s="250" t="s">
        <v>223</v>
      </c>
      <c r="B21" s="265"/>
      <c r="C21" s="253"/>
      <c r="D21" s="265"/>
      <c r="E21" s="251" t="s">
        <v>55</v>
      </c>
      <c r="F21" s="348"/>
      <c r="G21" s="243" t="s">
        <v>266</v>
      </c>
      <c r="H21" s="70" t="s">
        <v>441</v>
      </c>
      <c r="I21" s="65" t="s">
        <v>186</v>
      </c>
      <c r="J21" s="70" t="s">
        <v>267</v>
      </c>
      <c r="K21" s="291">
        <v>39073</v>
      </c>
      <c r="L21" s="68" t="s">
        <v>53</v>
      </c>
      <c r="M21" s="402">
        <v>51</v>
      </c>
      <c r="N21" s="403">
        <v>20</v>
      </c>
      <c r="O21" s="419">
        <v>1201</v>
      </c>
      <c r="P21" s="420">
        <v>240</v>
      </c>
      <c r="Q21" s="404">
        <f>145565+155630+55982+15271+7453.5+9440+11300.5+7141.5+2772.5+2945+30+431+4621+226+400+118+79+0+1201</f>
        <v>420607</v>
      </c>
      <c r="R21" s="405">
        <f>17748+18932+7628+2641+1317+1724+2010+1184+553+655+5+131+1001+24+110+22+13+0+240</f>
        <v>55938</v>
      </c>
      <c r="S21" s="499">
        <v>40907</v>
      </c>
    </row>
    <row r="22" spans="1:19" ht="15.75">
      <c r="A22" s="253"/>
      <c r="B22" s="253"/>
      <c r="C22" s="253"/>
      <c r="D22" s="253"/>
      <c r="E22" s="252"/>
      <c r="F22" s="242" t="s">
        <v>54</v>
      </c>
      <c r="G22" s="511" t="s">
        <v>143</v>
      </c>
      <c r="H22" s="65" t="s">
        <v>127</v>
      </c>
      <c r="I22" s="69"/>
      <c r="J22" s="67" t="s">
        <v>143</v>
      </c>
      <c r="K22" s="290">
        <v>40893</v>
      </c>
      <c r="L22" s="68" t="s">
        <v>68</v>
      </c>
      <c r="M22" s="372">
        <v>23</v>
      </c>
      <c r="N22" s="373">
        <v>3</v>
      </c>
      <c r="O22" s="423">
        <v>20298.5</v>
      </c>
      <c r="P22" s="424">
        <v>2691</v>
      </c>
      <c r="Q22" s="393">
        <f>53228.5+28585+20298.5</f>
        <v>102112</v>
      </c>
      <c r="R22" s="398">
        <f>6440+3537+2691</f>
        <v>12668</v>
      </c>
      <c r="S22" s="499">
        <v>40907</v>
      </c>
    </row>
    <row r="23" spans="1:19" ht="15.75">
      <c r="A23" s="240"/>
      <c r="B23" s="240"/>
      <c r="C23" s="240"/>
      <c r="D23" s="240"/>
      <c r="E23" s="244"/>
      <c r="F23" s="242" t="s">
        <v>54</v>
      </c>
      <c r="G23" s="511" t="s">
        <v>143</v>
      </c>
      <c r="H23" s="65" t="s">
        <v>127</v>
      </c>
      <c r="I23" s="69"/>
      <c r="J23" s="67" t="s">
        <v>143</v>
      </c>
      <c r="K23" s="290">
        <v>40893</v>
      </c>
      <c r="L23" s="68" t="s">
        <v>68</v>
      </c>
      <c r="M23" s="350">
        <v>23</v>
      </c>
      <c r="N23" s="492">
        <v>4</v>
      </c>
      <c r="O23" s="493">
        <v>8299</v>
      </c>
      <c r="P23" s="494">
        <v>1237</v>
      </c>
      <c r="Q23" s="495">
        <f>53228.5+28585+20298.5+8299</f>
        <v>110411</v>
      </c>
      <c r="R23" s="496">
        <f>6440+3537+2691+1237</f>
        <v>13905</v>
      </c>
      <c r="S23" s="285">
        <v>40914</v>
      </c>
    </row>
    <row r="24" spans="1:19" ht="15.75">
      <c r="A24" s="240"/>
      <c r="B24" s="240"/>
      <c r="C24" s="240"/>
      <c r="D24" s="240"/>
      <c r="E24" s="244"/>
      <c r="F24" s="242" t="s">
        <v>54</v>
      </c>
      <c r="G24" s="511" t="s">
        <v>143</v>
      </c>
      <c r="H24" s="65" t="s">
        <v>127</v>
      </c>
      <c r="I24" s="69"/>
      <c r="J24" s="67" t="s">
        <v>143</v>
      </c>
      <c r="K24" s="290">
        <v>40893</v>
      </c>
      <c r="L24" s="68" t="s">
        <v>68</v>
      </c>
      <c r="M24" s="372">
        <v>23</v>
      </c>
      <c r="N24" s="373">
        <v>5</v>
      </c>
      <c r="O24" s="423">
        <v>5922</v>
      </c>
      <c r="P24" s="424">
        <v>891</v>
      </c>
      <c r="Q24" s="393">
        <f>53228.5+28585+20298.5+8299+5922</f>
        <v>116333</v>
      </c>
      <c r="R24" s="398">
        <f>6440+3537+2691+1237+891</f>
        <v>14796</v>
      </c>
      <c r="S24" s="285">
        <v>40921</v>
      </c>
    </row>
    <row r="25" spans="1:19" ht="15.75">
      <c r="A25" s="240"/>
      <c r="B25" s="240"/>
      <c r="C25" s="253"/>
      <c r="D25" s="240"/>
      <c r="E25" s="252"/>
      <c r="F25" s="252"/>
      <c r="G25" s="264" t="s">
        <v>241</v>
      </c>
      <c r="H25" s="68" t="s">
        <v>129</v>
      </c>
      <c r="I25" s="68" t="s">
        <v>79</v>
      </c>
      <c r="J25" s="68" t="s">
        <v>242</v>
      </c>
      <c r="K25" s="290">
        <v>40781</v>
      </c>
      <c r="L25" s="68" t="s">
        <v>13</v>
      </c>
      <c r="M25" s="512">
        <v>10</v>
      </c>
      <c r="N25" s="373">
        <v>9</v>
      </c>
      <c r="O25" s="419">
        <v>1188</v>
      </c>
      <c r="P25" s="420">
        <v>237</v>
      </c>
      <c r="Q25" s="381">
        <v>32436</v>
      </c>
      <c r="R25" s="382">
        <v>4095</v>
      </c>
      <c r="S25" s="499">
        <v>40907</v>
      </c>
    </row>
    <row r="26" spans="1:19" ht="15.75">
      <c r="A26" s="256"/>
      <c r="B26" s="256"/>
      <c r="C26" s="253"/>
      <c r="D26" s="256"/>
      <c r="E26" s="239"/>
      <c r="F26" s="242" t="s">
        <v>54</v>
      </c>
      <c r="G26" s="513" t="s">
        <v>120</v>
      </c>
      <c r="H26" s="65" t="s">
        <v>122</v>
      </c>
      <c r="I26" s="68"/>
      <c r="J26" s="68" t="s">
        <v>120</v>
      </c>
      <c r="K26" s="290">
        <v>40886</v>
      </c>
      <c r="L26" s="68" t="s">
        <v>121</v>
      </c>
      <c r="M26" s="372">
        <v>82</v>
      </c>
      <c r="N26" s="394">
        <v>4</v>
      </c>
      <c r="O26" s="429">
        <v>27702.5</v>
      </c>
      <c r="P26" s="430">
        <v>3949</v>
      </c>
      <c r="Q26" s="408">
        <v>629561</v>
      </c>
      <c r="R26" s="409">
        <v>71923</v>
      </c>
      <c r="S26" s="499">
        <v>40907</v>
      </c>
    </row>
    <row r="27" spans="1:19" ht="15.75">
      <c r="A27" s="256"/>
      <c r="B27" s="256"/>
      <c r="C27" s="240"/>
      <c r="D27" s="256"/>
      <c r="E27" s="244"/>
      <c r="F27" s="242" t="s">
        <v>54</v>
      </c>
      <c r="G27" s="513" t="s">
        <v>120</v>
      </c>
      <c r="H27" s="65" t="s">
        <v>122</v>
      </c>
      <c r="I27" s="68"/>
      <c r="J27" s="68" t="s">
        <v>120</v>
      </c>
      <c r="K27" s="290">
        <v>40886</v>
      </c>
      <c r="L27" s="68" t="s">
        <v>121</v>
      </c>
      <c r="M27" s="350">
        <v>82</v>
      </c>
      <c r="N27" s="276">
        <v>5</v>
      </c>
      <c r="O27" s="514">
        <v>8167.5</v>
      </c>
      <c r="P27" s="515">
        <v>1300</v>
      </c>
      <c r="Q27" s="516">
        <v>637877</v>
      </c>
      <c r="R27" s="517">
        <v>73245</v>
      </c>
      <c r="S27" s="285">
        <v>40914</v>
      </c>
    </row>
    <row r="28" spans="1:19" ht="15.75">
      <c r="A28" s="256"/>
      <c r="B28" s="256"/>
      <c r="C28" s="240"/>
      <c r="D28" s="256"/>
      <c r="E28" s="244"/>
      <c r="F28" s="242" t="s">
        <v>54</v>
      </c>
      <c r="G28" s="513" t="s">
        <v>120</v>
      </c>
      <c r="H28" s="65" t="s">
        <v>122</v>
      </c>
      <c r="I28" s="68"/>
      <c r="J28" s="68" t="s">
        <v>120</v>
      </c>
      <c r="K28" s="290">
        <v>40886</v>
      </c>
      <c r="L28" s="68" t="s">
        <v>121</v>
      </c>
      <c r="M28" s="372">
        <v>82</v>
      </c>
      <c r="N28" s="394">
        <v>6</v>
      </c>
      <c r="O28" s="429">
        <v>4728</v>
      </c>
      <c r="P28" s="430">
        <v>758</v>
      </c>
      <c r="Q28" s="408">
        <v>642785</v>
      </c>
      <c r="R28" s="409">
        <v>74003</v>
      </c>
      <c r="S28" s="285">
        <v>40921</v>
      </c>
    </row>
    <row r="29" spans="1:19" ht="15.75">
      <c r="A29" s="265"/>
      <c r="B29" s="265"/>
      <c r="C29" s="253"/>
      <c r="D29" s="265"/>
      <c r="E29" s="252"/>
      <c r="F29" s="242" t="s">
        <v>54</v>
      </c>
      <c r="G29" s="471" t="s">
        <v>66</v>
      </c>
      <c r="H29" s="70" t="s">
        <v>81</v>
      </c>
      <c r="I29" s="70"/>
      <c r="J29" s="70" t="s">
        <v>66</v>
      </c>
      <c r="K29" s="290">
        <v>40844</v>
      </c>
      <c r="L29" s="68" t="s">
        <v>53</v>
      </c>
      <c r="M29" s="387">
        <v>245</v>
      </c>
      <c r="N29" s="403">
        <v>10</v>
      </c>
      <c r="O29" s="505">
        <v>1680</v>
      </c>
      <c r="P29" s="506">
        <v>262</v>
      </c>
      <c r="Q29" s="404">
        <f>2095427.5+1865707+650031+295029.5+57559.5+69427+8354+22014.5+2923+1680</f>
        <v>5068153</v>
      </c>
      <c r="R29" s="405">
        <f>212522+189875+68849+32548+6112+10910+1695+4739+564+262</f>
        <v>528076</v>
      </c>
      <c r="S29" s="499">
        <v>40907</v>
      </c>
    </row>
    <row r="30" spans="1:19" ht="15.75">
      <c r="A30" s="255"/>
      <c r="B30" s="255"/>
      <c r="C30" s="240"/>
      <c r="D30" s="255"/>
      <c r="E30" s="244"/>
      <c r="F30" s="242" t="s">
        <v>54</v>
      </c>
      <c r="G30" s="471" t="s">
        <v>66</v>
      </c>
      <c r="H30" s="70" t="s">
        <v>81</v>
      </c>
      <c r="I30" s="70"/>
      <c r="J30" s="70" t="s">
        <v>66</v>
      </c>
      <c r="K30" s="290">
        <v>40844</v>
      </c>
      <c r="L30" s="68" t="s">
        <v>53</v>
      </c>
      <c r="M30" s="355">
        <v>245</v>
      </c>
      <c r="N30" s="507">
        <v>11</v>
      </c>
      <c r="O30" s="508">
        <v>573</v>
      </c>
      <c r="P30" s="501">
        <v>94</v>
      </c>
      <c r="Q30" s="509">
        <f>2095427.5+1865707+650031+295029.5+57559.5+69427+8354+22014.5+2923+1680+573</f>
        <v>5068726</v>
      </c>
      <c r="R30" s="503">
        <f>212522+189875+68849+32548+6112+10910+1695+4739+564+262+94</f>
        <v>528170</v>
      </c>
      <c r="S30" s="285">
        <v>40914</v>
      </c>
    </row>
    <row r="31" spans="1:19" ht="15.75">
      <c r="A31" s="255"/>
      <c r="B31" s="255"/>
      <c r="C31" s="240"/>
      <c r="D31" s="255"/>
      <c r="E31" s="244"/>
      <c r="F31" s="242" t="s">
        <v>54</v>
      </c>
      <c r="G31" s="471" t="s">
        <v>338</v>
      </c>
      <c r="H31" s="70" t="s">
        <v>341</v>
      </c>
      <c r="I31" s="65" t="s">
        <v>138</v>
      </c>
      <c r="J31" s="70" t="s">
        <v>338</v>
      </c>
      <c r="K31" s="290">
        <v>40830</v>
      </c>
      <c r="L31" s="68" t="s">
        <v>53</v>
      </c>
      <c r="M31" s="354">
        <v>142</v>
      </c>
      <c r="N31" s="507">
        <v>12</v>
      </c>
      <c r="O31" s="508">
        <v>2402</v>
      </c>
      <c r="P31" s="501">
        <v>480</v>
      </c>
      <c r="Q31" s="509">
        <f>248732+139942.5+41015.5+4968+2270+1973+10279+6007+1097+295+261+2402</f>
        <v>459242</v>
      </c>
      <c r="R31" s="503">
        <f>33636+19210+5940+800+378+422+1552+983+159+45+36+480</f>
        <v>63641</v>
      </c>
      <c r="S31" s="285">
        <v>40914</v>
      </c>
    </row>
    <row r="32" spans="1:19" ht="15.75">
      <c r="A32" s="253"/>
      <c r="B32" s="253"/>
      <c r="C32" s="253"/>
      <c r="D32" s="253"/>
      <c r="E32" s="252"/>
      <c r="F32" s="242" t="s">
        <v>54</v>
      </c>
      <c r="G32" s="518" t="s">
        <v>71</v>
      </c>
      <c r="H32" s="65" t="s">
        <v>82</v>
      </c>
      <c r="I32" s="65"/>
      <c r="J32" s="65" t="s">
        <v>71</v>
      </c>
      <c r="K32" s="291">
        <v>40858</v>
      </c>
      <c r="L32" s="68" t="s">
        <v>53</v>
      </c>
      <c r="M32" s="372">
        <v>130</v>
      </c>
      <c r="N32" s="403">
        <v>8</v>
      </c>
      <c r="O32" s="505">
        <v>8754</v>
      </c>
      <c r="P32" s="506">
        <v>1547</v>
      </c>
      <c r="Q32" s="404">
        <f>665902+436506+215139.5+18371+13790+6539+18719+8754</f>
        <v>1383720.5</v>
      </c>
      <c r="R32" s="405">
        <f>66262+44749+24699+2311+1764+1135+3015+1547</f>
        <v>145482</v>
      </c>
      <c r="S32" s="499">
        <v>40907</v>
      </c>
    </row>
    <row r="33" spans="1:19" ht="15.75">
      <c r="A33" s="240"/>
      <c r="B33" s="240"/>
      <c r="C33" s="240"/>
      <c r="D33" s="240"/>
      <c r="E33" s="244"/>
      <c r="F33" s="242" t="s">
        <v>54</v>
      </c>
      <c r="G33" s="518" t="s">
        <v>71</v>
      </c>
      <c r="H33" s="65" t="s">
        <v>82</v>
      </c>
      <c r="I33" s="65"/>
      <c r="J33" s="65" t="s">
        <v>71</v>
      </c>
      <c r="K33" s="291">
        <v>40858</v>
      </c>
      <c r="L33" s="68" t="s">
        <v>53</v>
      </c>
      <c r="M33" s="350">
        <v>130</v>
      </c>
      <c r="N33" s="507">
        <v>2</v>
      </c>
      <c r="O33" s="508">
        <v>1085</v>
      </c>
      <c r="P33" s="501">
        <v>179</v>
      </c>
      <c r="Q33" s="509">
        <f>665902+436506+215139.5+18371+13790+6539+18719+8754+1085</f>
        <v>1384805.5</v>
      </c>
      <c r="R33" s="503">
        <f>66262+44749+24699+2311+1764+1135+3015+1547+179</f>
        <v>145661</v>
      </c>
      <c r="S33" s="285">
        <v>40914</v>
      </c>
    </row>
    <row r="34" spans="1:19" ht="15.75">
      <c r="A34" s="240"/>
      <c r="B34" s="240"/>
      <c r="C34" s="240"/>
      <c r="D34" s="240"/>
      <c r="E34" s="244"/>
      <c r="F34" s="242" t="s">
        <v>54</v>
      </c>
      <c r="G34" s="518" t="s">
        <v>71</v>
      </c>
      <c r="H34" s="65" t="s">
        <v>82</v>
      </c>
      <c r="I34" s="65"/>
      <c r="J34" s="65" t="s">
        <v>71</v>
      </c>
      <c r="K34" s="291">
        <v>40858</v>
      </c>
      <c r="L34" s="68" t="s">
        <v>53</v>
      </c>
      <c r="M34" s="372">
        <v>130</v>
      </c>
      <c r="N34" s="403">
        <v>1</v>
      </c>
      <c r="O34" s="419">
        <v>753</v>
      </c>
      <c r="P34" s="420">
        <v>111</v>
      </c>
      <c r="Q34" s="404">
        <f>665902+436506+215139.5+18371+13790+6539+18719+8754+1085+753</f>
        <v>1385558.5</v>
      </c>
      <c r="R34" s="405">
        <f>66262+44749+24699+2311+1764+1135+3015+1547+179+111</f>
        <v>145772</v>
      </c>
      <c r="S34" s="285">
        <v>40921</v>
      </c>
    </row>
    <row r="35" spans="1:19" ht="15.75">
      <c r="A35" s="240"/>
      <c r="B35" s="240"/>
      <c r="C35" s="240"/>
      <c r="D35" s="240"/>
      <c r="E35" s="244"/>
      <c r="F35" s="242" t="s">
        <v>54</v>
      </c>
      <c r="G35" s="511" t="s">
        <v>269</v>
      </c>
      <c r="H35" s="65" t="s">
        <v>284</v>
      </c>
      <c r="I35" s="69"/>
      <c r="J35" s="67" t="s">
        <v>269</v>
      </c>
      <c r="K35" s="290">
        <v>40809</v>
      </c>
      <c r="L35" s="68" t="s">
        <v>68</v>
      </c>
      <c r="M35" s="350">
        <v>66</v>
      </c>
      <c r="N35" s="492">
        <v>16</v>
      </c>
      <c r="O35" s="493">
        <v>4669.5</v>
      </c>
      <c r="P35" s="494">
        <v>1220</v>
      </c>
      <c r="Q35" s="495">
        <f>382290+386122+344313.5+244996+104138.75+43618.5+27632+12528+6812+832+1782+2257+1782+5477.5+2138.5+4669.5</f>
        <v>1571389.25</v>
      </c>
      <c r="R35" s="496">
        <f>34863+36137+32260+23896+12188+5940+2894+1417+1234+90+446+565+446+1293+535+1220</f>
        <v>155424</v>
      </c>
      <c r="S35" s="285">
        <v>40914</v>
      </c>
    </row>
    <row r="36" spans="1:19" ht="15.75">
      <c r="A36" s="253"/>
      <c r="B36" s="253"/>
      <c r="C36" s="253"/>
      <c r="D36" s="253"/>
      <c r="E36" s="252"/>
      <c r="F36" s="242" t="s">
        <v>54</v>
      </c>
      <c r="G36" s="511" t="s">
        <v>269</v>
      </c>
      <c r="H36" s="65" t="s">
        <v>284</v>
      </c>
      <c r="I36" s="69"/>
      <c r="J36" s="67" t="s">
        <v>269</v>
      </c>
      <c r="K36" s="290">
        <v>40809</v>
      </c>
      <c r="L36" s="68" t="s">
        <v>68</v>
      </c>
      <c r="M36" s="372">
        <v>66</v>
      </c>
      <c r="N36" s="510">
        <v>15</v>
      </c>
      <c r="O36" s="423">
        <v>2138.5</v>
      </c>
      <c r="P36" s="424">
        <v>535</v>
      </c>
      <c r="Q36" s="393">
        <f>382290+386122+344313.5+244996+104138.75+43618.5+27632+12528+6812+832+1782+2257+1782+5477.5+2138.5</f>
        <v>1566719.75</v>
      </c>
      <c r="R36" s="398">
        <f>34863+36137+32260+23896+12188+5940+2894+1417+1234+90+446+565+446+1293+535</f>
        <v>154204</v>
      </c>
      <c r="S36" s="499">
        <v>40907</v>
      </c>
    </row>
    <row r="37" spans="1:19" ht="15.75">
      <c r="A37" s="240"/>
      <c r="B37" s="240"/>
      <c r="C37" s="240"/>
      <c r="D37" s="240"/>
      <c r="E37" s="244"/>
      <c r="F37" s="242" t="s">
        <v>54</v>
      </c>
      <c r="G37" s="511" t="s">
        <v>269</v>
      </c>
      <c r="H37" s="65" t="s">
        <v>284</v>
      </c>
      <c r="I37" s="69"/>
      <c r="J37" s="67" t="s">
        <v>269</v>
      </c>
      <c r="K37" s="290">
        <v>40809</v>
      </c>
      <c r="L37" s="68" t="s">
        <v>68</v>
      </c>
      <c r="M37" s="372">
        <v>66</v>
      </c>
      <c r="N37" s="373">
        <v>16</v>
      </c>
      <c r="O37" s="423">
        <v>970</v>
      </c>
      <c r="P37" s="424">
        <v>404</v>
      </c>
      <c r="Q37" s="393">
        <f>382290+386122+344313.5+244996+104138.75+43618.5+27632+12528+6812+832+1782+2257+1782+5477.5+2138.5+4669.5+970</f>
        <v>1572359.25</v>
      </c>
      <c r="R37" s="398">
        <f>34863+36137+32260+23896+12188+5940+2894+1417+1234+90+446+565+446+1293+535+1220+404</f>
        <v>155828</v>
      </c>
      <c r="S37" s="285">
        <v>40921</v>
      </c>
    </row>
    <row r="38" spans="1:19" ht="15.75">
      <c r="A38" s="255"/>
      <c r="B38" s="255"/>
      <c r="C38" s="240"/>
      <c r="D38" s="255"/>
      <c r="E38" s="244"/>
      <c r="F38" s="242" t="s">
        <v>54</v>
      </c>
      <c r="G38" s="471" t="s">
        <v>340</v>
      </c>
      <c r="H38" s="70" t="s">
        <v>342</v>
      </c>
      <c r="I38" s="65" t="s">
        <v>138</v>
      </c>
      <c r="J38" s="70" t="s">
        <v>340</v>
      </c>
      <c r="K38" s="290">
        <v>40914</v>
      </c>
      <c r="L38" s="68" t="s">
        <v>53</v>
      </c>
      <c r="M38" s="354">
        <v>97</v>
      </c>
      <c r="N38" s="507">
        <v>1</v>
      </c>
      <c r="O38" s="508">
        <v>216520</v>
      </c>
      <c r="P38" s="501">
        <v>26831</v>
      </c>
      <c r="Q38" s="509">
        <f>216520</f>
        <v>216520</v>
      </c>
      <c r="R38" s="503">
        <f>26831</f>
        <v>26831</v>
      </c>
      <c r="S38" s="285">
        <v>40914</v>
      </c>
    </row>
    <row r="39" spans="1:19" ht="15.75">
      <c r="A39" s="255"/>
      <c r="B39" s="255"/>
      <c r="C39" s="240"/>
      <c r="D39" s="255"/>
      <c r="E39" s="244"/>
      <c r="F39" s="242" t="s">
        <v>54</v>
      </c>
      <c r="G39" s="471" t="s">
        <v>340</v>
      </c>
      <c r="H39" s="70" t="s">
        <v>342</v>
      </c>
      <c r="I39" s="65" t="s">
        <v>138</v>
      </c>
      <c r="J39" s="70" t="s">
        <v>340</v>
      </c>
      <c r="K39" s="290">
        <v>40914</v>
      </c>
      <c r="L39" s="68" t="s">
        <v>53</v>
      </c>
      <c r="M39" s="402">
        <v>97</v>
      </c>
      <c r="N39" s="403">
        <v>2</v>
      </c>
      <c r="O39" s="419">
        <v>198358.5</v>
      </c>
      <c r="P39" s="420">
        <v>25025</v>
      </c>
      <c r="Q39" s="404">
        <f>216520+198358.5</f>
        <v>414878.5</v>
      </c>
      <c r="R39" s="405">
        <f>26831+25025</f>
        <v>51856</v>
      </c>
      <c r="S39" s="285">
        <v>40921</v>
      </c>
    </row>
    <row r="40" spans="1:19" ht="15.75">
      <c r="A40" s="519"/>
      <c r="B40" s="519"/>
      <c r="C40" s="253"/>
      <c r="D40" s="519"/>
      <c r="E40" s="520"/>
      <c r="F40" s="252"/>
      <c r="G40" s="258" t="s">
        <v>137</v>
      </c>
      <c r="H40" s="65" t="s">
        <v>140</v>
      </c>
      <c r="I40" s="65" t="s">
        <v>138</v>
      </c>
      <c r="J40" s="65" t="s">
        <v>139</v>
      </c>
      <c r="K40" s="290">
        <v>40893</v>
      </c>
      <c r="L40" s="68" t="s">
        <v>53</v>
      </c>
      <c r="M40" s="372">
        <v>28</v>
      </c>
      <c r="N40" s="403">
        <v>3</v>
      </c>
      <c r="O40" s="505">
        <v>19211</v>
      </c>
      <c r="P40" s="506">
        <v>2152</v>
      </c>
      <c r="Q40" s="404">
        <f>152692.5+78009+19211</f>
        <v>249912.5</v>
      </c>
      <c r="R40" s="405">
        <f>12107+6230+2152</f>
        <v>20489</v>
      </c>
      <c r="S40" s="499">
        <v>40907</v>
      </c>
    </row>
    <row r="41" spans="1:19" ht="15.75">
      <c r="A41" s="256"/>
      <c r="B41" s="256"/>
      <c r="C41" s="240"/>
      <c r="D41" s="256"/>
      <c r="E41" s="241"/>
      <c r="F41" s="244"/>
      <c r="G41" s="258" t="s">
        <v>137</v>
      </c>
      <c r="H41" s="65" t="s">
        <v>140</v>
      </c>
      <c r="I41" s="65" t="s">
        <v>138</v>
      </c>
      <c r="J41" s="65" t="s">
        <v>139</v>
      </c>
      <c r="K41" s="290">
        <v>40893</v>
      </c>
      <c r="L41" s="68" t="s">
        <v>53</v>
      </c>
      <c r="M41" s="350">
        <v>28</v>
      </c>
      <c r="N41" s="507">
        <v>4</v>
      </c>
      <c r="O41" s="508">
        <v>5878</v>
      </c>
      <c r="P41" s="501">
        <v>592</v>
      </c>
      <c r="Q41" s="509">
        <f>152692.5+78009+19211+5878</f>
        <v>255790.5</v>
      </c>
      <c r="R41" s="503">
        <f>12107+6230+2152+592</f>
        <v>21081</v>
      </c>
      <c r="S41" s="285">
        <v>40914</v>
      </c>
    </row>
    <row r="42" spans="1:19" ht="15.75">
      <c r="A42" s="256"/>
      <c r="B42" s="256"/>
      <c r="C42" s="240"/>
      <c r="D42" s="256"/>
      <c r="E42" s="241"/>
      <c r="F42" s="244"/>
      <c r="G42" s="258" t="s">
        <v>137</v>
      </c>
      <c r="H42" s="65" t="s">
        <v>140</v>
      </c>
      <c r="I42" s="65" t="s">
        <v>138</v>
      </c>
      <c r="J42" s="65" t="s">
        <v>139</v>
      </c>
      <c r="K42" s="290">
        <v>40893</v>
      </c>
      <c r="L42" s="68" t="s">
        <v>53</v>
      </c>
      <c r="M42" s="372">
        <v>28</v>
      </c>
      <c r="N42" s="403">
        <v>5</v>
      </c>
      <c r="O42" s="419">
        <v>4853.5</v>
      </c>
      <c r="P42" s="420">
        <v>575</v>
      </c>
      <c r="Q42" s="404">
        <f>152692.5+78009+19211+5878+4853.5</f>
        <v>260644</v>
      </c>
      <c r="R42" s="405">
        <f>12107+6230+2152+592+575</f>
        <v>21656</v>
      </c>
      <c r="S42" s="285">
        <v>40921</v>
      </c>
    </row>
    <row r="43" spans="1:19" ht="15.75">
      <c r="A43" s="250" t="s">
        <v>223</v>
      </c>
      <c r="B43" s="253"/>
      <c r="C43" s="253"/>
      <c r="D43" s="247" t="s">
        <v>292</v>
      </c>
      <c r="E43" s="251" t="s">
        <v>55</v>
      </c>
      <c r="F43" s="239"/>
      <c r="G43" s="262" t="s">
        <v>49</v>
      </c>
      <c r="H43" s="66" t="s">
        <v>92</v>
      </c>
      <c r="I43" s="66" t="s">
        <v>94</v>
      </c>
      <c r="J43" s="69" t="s">
        <v>59</v>
      </c>
      <c r="K43" s="290">
        <v>40774</v>
      </c>
      <c r="L43" s="68" t="s">
        <v>12</v>
      </c>
      <c r="M43" s="372">
        <v>123</v>
      </c>
      <c r="N43" s="373">
        <v>20</v>
      </c>
      <c r="O43" s="521">
        <v>2279</v>
      </c>
      <c r="P43" s="522">
        <v>487</v>
      </c>
      <c r="Q43" s="383">
        <v>7024385</v>
      </c>
      <c r="R43" s="384">
        <v>688120</v>
      </c>
      <c r="S43" s="499">
        <v>40907</v>
      </c>
    </row>
    <row r="44" spans="1:19" ht="15.75">
      <c r="A44" s="250" t="s">
        <v>223</v>
      </c>
      <c r="B44" s="253"/>
      <c r="C44" s="240"/>
      <c r="D44" s="247" t="s">
        <v>292</v>
      </c>
      <c r="E44" s="251" t="s">
        <v>55</v>
      </c>
      <c r="F44" s="244"/>
      <c r="G44" s="262" t="s">
        <v>49</v>
      </c>
      <c r="H44" s="66" t="s">
        <v>92</v>
      </c>
      <c r="I44" s="66" t="s">
        <v>94</v>
      </c>
      <c r="J44" s="69" t="s">
        <v>59</v>
      </c>
      <c r="K44" s="290">
        <v>40774</v>
      </c>
      <c r="L44" s="68" t="s">
        <v>12</v>
      </c>
      <c r="M44" s="350">
        <v>123</v>
      </c>
      <c r="N44" s="274">
        <v>21</v>
      </c>
      <c r="O44" s="500">
        <v>784</v>
      </c>
      <c r="P44" s="501">
        <v>153</v>
      </c>
      <c r="Q44" s="502">
        <v>7025169</v>
      </c>
      <c r="R44" s="503">
        <v>688273</v>
      </c>
      <c r="S44" s="285">
        <v>40914</v>
      </c>
    </row>
    <row r="45" spans="1:19" ht="15.75">
      <c r="A45" s="250" t="s">
        <v>223</v>
      </c>
      <c r="B45" s="253"/>
      <c r="C45" s="240"/>
      <c r="D45" s="247" t="s">
        <v>292</v>
      </c>
      <c r="E45" s="251" t="s">
        <v>55</v>
      </c>
      <c r="F45" s="244"/>
      <c r="G45" s="262" t="s">
        <v>49</v>
      </c>
      <c r="H45" s="66" t="s">
        <v>92</v>
      </c>
      <c r="I45" s="66" t="s">
        <v>94</v>
      </c>
      <c r="J45" s="69" t="s">
        <v>59</v>
      </c>
      <c r="K45" s="290">
        <v>40774</v>
      </c>
      <c r="L45" s="68" t="s">
        <v>12</v>
      </c>
      <c r="M45" s="372">
        <v>123</v>
      </c>
      <c r="N45" s="373">
        <v>22</v>
      </c>
      <c r="O45" s="419">
        <v>564</v>
      </c>
      <c r="P45" s="420">
        <v>117</v>
      </c>
      <c r="Q45" s="383">
        <v>7026034</v>
      </c>
      <c r="R45" s="384">
        <v>688442</v>
      </c>
      <c r="S45" s="285">
        <v>40921</v>
      </c>
    </row>
    <row r="46" spans="1:19" ht="15.75">
      <c r="A46" s="250" t="s">
        <v>223</v>
      </c>
      <c r="B46" s="265"/>
      <c r="C46" s="253"/>
      <c r="D46" s="247" t="s">
        <v>292</v>
      </c>
      <c r="E46" s="251" t="s">
        <v>55</v>
      </c>
      <c r="F46" s="348"/>
      <c r="G46" s="243" t="s">
        <v>175</v>
      </c>
      <c r="H46" s="70" t="s">
        <v>187</v>
      </c>
      <c r="I46" s="70" t="s">
        <v>138</v>
      </c>
      <c r="J46" s="70" t="s">
        <v>178</v>
      </c>
      <c r="K46" s="290">
        <v>39682</v>
      </c>
      <c r="L46" s="68" t="s">
        <v>53</v>
      </c>
      <c r="M46" s="402">
        <v>60</v>
      </c>
      <c r="N46" s="403">
        <v>23</v>
      </c>
      <c r="O46" s="505">
        <v>1201</v>
      </c>
      <c r="P46" s="506">
        <v>240</v>
      </c>
      <c r="Q46" s="404">
        <f>111737+37434.5+11042+9412+0.5+6921+5282+0.5+1449+105+269+162+117+442+7259+305+4320+1922+1799+1799+135+1799+3598+1201</f>
        <v>208510.5</v>
      </c>
      <c r="R46" s="405">
        <f>13345+4357+1377+1694+1346+1248+225+18+64+40+37+108+2420+61+783+385+300+300+15+300+600+240</f>
        <v>29263</v>
      </c>
      <c r="S46" s="499">
        <v>40907</v>
      </c>
    </row>
    <row r="47" spans="1:19" ht="15.75">
      <c r="A47" s="240"/>
      <c r="B47" s="240"/>
      <c r="C47" s="240"/>
      <c r="D47" s="240"/>
      <c r="E47" s="244"/>
      <c r="F47" s="242" t="s">
        <v>54</v>
      </c>
      <c r="G47" s="504" t="s">
        <v>77</v>
      </c>
      <c r="H47" s="68" t="s">
        <v>188</v>
      </c>
      <c r="I47" s="68"/>
      <c r="J47" s="68" t="s">
        <v>173</v>
      </c>
      <c r="K47" s="290">
        <v>40865</v>
      </c>
      <c r="L47" s="68" t="s">
        <v>52</v>
      </c>
      <c r="M47" s="353">
        <v>64</v>
      </c>
      <c r="N47" s="276">
        <v>8</v>
      </c>
      <c r="O47" s="523">
        <v>1985</v>
      </c>
      <c r="P47" s="524">
        <v>352</v>
      </c>
      <c r="Q47" s="525">
        <f>256046+137037.5+20115+5099+3542+3484.5+1302+1985</f>
        <v>428611</v>
      </c>
      <c r="R47" s="526">
        <f>25390+13650+2140+705+587+707+246+352</f>
        <v>43777</v>
      </c>
      <c r="S47" s="285">
        <v>40914</v>
      </c>
    </row>
    <row r="48" spans="1:19" ht="15.75">
      <c r="A48" s="253"/>
      <c r="B48" s="253"/>
      <c r="C48" s="253"/>
      <c r="D48" s="253"/>
      <c r="E48" s="252"/>
      <c r="F48" s="242" t="s">
        <v>54</v>
      </c>
      <c r="G48" s="504" t="s">
        <v>77</v>
      </c>
      <c r="H48" s="68" t="s">
        <v>188</v>
      </c>
      <c r="I48" s="68"/>
      <c r="J48" s="68" t="s">
        <v>173</v>
      </c>
      <c r="K48" s="290">
        <v>40865</v>
      </c>
      <c r="L48" s="68" t="s">
        <v>52</v>
      </c>
      <c r="M48" s="406">
        <v>64</v>
      </c>
      <c r="N48" s="394">
        <v>7</v>
      </c>
      <c r="O48" s="527">
        <v>1302</v>
      </c>
      <c r="P48" s="528">
        <v>246</v>
      </c>
      <c r="Q48" s="378">
        <f>256046+137037.5+20115+5099+3542+3484.5+1302</f>
        <v>426626</v>
      </c>
      <c r="R48" s="382">
        <f>25390+13650+2140+705+587+707+246</f>
        <v>43425</v>
      </c>
      <c r="S48" s="499">
        <v>40907</v>
      </c>
    </row>
    <row r="49" spans="1:19" ht="15.75">
      <c r="A49" s="240"/>
      <c r="B49" s="240"/>
      <c r="C49" s="240"/>
      <c r="D49" s="240"/>
      <c r="E49" s="244"/>
      <c r="F49" s="242" t="s">
        <v>54</v>
      </c>
      <c r="G49" s="504" t="s">
        <v>77</v>
      </c>
      <c r="H49" s="68" t="s">
        <v>188</v>
      </c>
      <c r="I49" s="68"/>
      <c r="J49" s="68" t="s">
        <v>173</v>
      </c>
      <c r="K49" s="290">
        <v>40865</v>
      </c>
      <c r="L49" s="68" t="s">
        <v>52</v>
      </c>
      <c r="M49" s="406">
        <v>64</v>
      </c>
      <c r="N49" s="394">
        <v>9</v>
      </c>
      <c r="O49" s="425">
        <v>195</v>
      </c>
      <c r="P49" s="426">
        <v>31</v>
      </c>
      <c r="Q49" s="399">
        <f>256046+137037.5+20115+5099+3542+3484.5+1302+1985+195</f>
        <v>428806</v>
      </c>
      <c r="R49" s="382">
        <f>25390+13650+2140+705+587+707+246+352+31</f>
        <v>43808</v>
      </c>
      <c r="S49" s="285">
        <v>40921</v>
      </c>
    </row>
    <row r="50" spans="1:19" ht="15.75">
      <c r="A50" s="253"/>
      <c r="B50" s="259">
        <v>3</v>
      </c>
      <c r="C50" s="253"/>
      <c r="D50" s="240"/>
      <c r="E50" s="252"/>
      <c r="F50" s="239"/>
      <c r="G50" s="245" t="s">
        <v>202</v>
      </c>
      <c r="H50" s="65" t="s">
        <v>210</v>
      </c>
      <c r="I50" s="72" t="s">
        <v>211</v>
      </c>
      <c r="J50" s="72" t="s">
        <v>202</v>
      </c>
      <c r="K50" s="290">
        <v>40837</v>
      </c>
      <c r="L50" s="68" t="s">
        <v>12</v>
      </c>
      <c r="M50" s="372">
        <v>130</v>
      </c>
      <c r="N50" s="373">
        <v>10</v>
      </c>
      <c r="O50" s="521">
        <v>983</v>
      </c>
      <c r="P50" s="522">
        <v>141</v>
      </c>
      <c r="Q50" s="383">
        <v>893705</v>
      </c>
      <c r="R50" s="384">
        <v>90187</v>
      </c>
      <c r="S50" s="499">
        <v>40907</v>
      </c>
    </row>
    <row r="51" spans="1:19" ht="15.75">
      <c r="A51" s="250" t="s">
        <v>223</v>
      </c>
      <c r="B51" s="259">
        <v>3</v>
      </c>
      <c r="C51" s="246">
        <v>2</v>
      </c>
      <c r="D51" s="240"/>
      <c r="E51" s="240"/>
      <c r="F51" s="244"/>
      <c r="G51" s="245" t="s">
        <v>403</v>
      </c>
      <c r="H51" s="65" t="s">
        <v>91</v>
      </c>
      <c r="I51" s="72" t="s">
        <v>94</v>
      </c>
      <c r="J51" s="72" t="s">
        <v>406</v>
      </c>
      <c r="K51" s="290">
        <v>40802</v>
      </c>
      <c r="L51" s="68" t="s">
        <v>12</v>
      </c>
      <c r="M51" s="372">
        <v>139</v>
      </c>
      <c r="N51" s="373">
        <v>18</v>
      </c>
      <c r="O51" s="419">
        <v>1197</v>
      </c>
      <c r="P51" s="420">
        <v>189</v>
      </c>
      <c r="Q51" s="383">
        <v>867262</v>
      </c>
      <c r="R51" s="384">
        <v>93571</v>
      </c>
      <c r="S51" s="285">
        <v>40921</v>
      </c>
    </row>
    <row r="52" spans="1:19" ht="15.75">
      <c r="A52" s="240"/>
      <c r="B52" s="240"/>
      <c r="C52" s="253"/>
      <c r="D52" s="240"/>
      <c r="E52" s="252"/>
      <c r="F52" s="252"/>
      <c r="G52" s="264" t="s">
        <v>251</v>
      </c>
      <c r="H52" s="68" t="s">
        <v>252</v>
      </c>
      <c r="I52" s="68" t="s">
        <v>248</v>
      </c>
      <c r="J52" s="68" t="s">
        <v>246</v>
      </c>
      <c r="K52" s="290">
        <v>40564</v>
      </c>
      <c r="L52" s="68" t="s">
        <v>13</v>
      </c>
      <c r="M52" s="512">
        <v>3</v>
      </c>
      <c r="N52" s="373">
        <v>6</v>
      </c>
      <c r="O52" s="419">
        <v>594</v>
      </c>
      <c r="P52" s="420">
        <v>118</v>
      </c>
      <c r="Q52" s="381">
        <v>13140.5</v>
      </c>
      <c r="R52" s="382">
        <v>1009</v>
      </c>
      <c r="S52" s="499">
        <v>40907</v>
      </c>
    </row>
    <row r="53" spans="1:19" ht="15.75">
      <c r="A53" s="253"/>
      <c r="B53" s="253"/>
      <c r="C53" s="253"/>
      <c r="D53" s="253"/>
      <c r="E53" s="529"/>
      <c r="F53" s="242" t="s">
        <v>54</v>
      </c>
      <c r="G53" s="513" t="s">
        <v>104</v>
      </c>
      <c r="H53" s="65" t="s">
        <v>105</v>
      </c>
      <c r="I53" s="68"/>
      <c r="J53" s="68" t="s">
        <v>104</v>
      </c>
      <c r="K53" s="291">
        <v>40872</v>
      </c>
      <c r="L53" s="68" t="s">
        <v>10</v>
      </c>
      <c r="M53" s="372">
        <v>277</v>
      </c>
      <c r="N53" s="394">
        <v>6</v>
      </c>
      <c r="O53" s="423">
        <v>441941</v>
      </c>
      <c r="P53" s="424">
        <v>49345</v>
      </c>
      <c r="Q53" s="393">
        <v>10697295</v>
      </c>
      <c r="R53" s="398">
        <v>1139680</v>
      </c>
      <c r="S53" s="499">
        <v>40907</v>
      </c>
    </row>
    <row r="54" spans="1:19" ht="15.75">
      <c r="A54" s="240"/>
      <c r="B54" s="240"/>
      <c r="C54" s="240"/>
      <c r="D54" s="240"/>
      <c r="E54" s="241"/>
      <c r="F54" s="242" t="s">
        <v>54</v>
      </c>
      <c r="G54" s="473" t="s">
        <v>104</v>
      </c>
      <c r="H54" s="65" t="s">
        <v>105</v>
      </c>
      <c r="I54" s="68"/>
      <c r="J54" s="68" t="s">
        <v>104</v>
      </c>
      <c r="K54" s="291">
        <v>40872</v>
      </c>
      <c r="L54" s="68" t="s">
        <v>10</v>
      </c>
      <c r="M54" s="350">
        <v>277</v>
      </c>
      <c r="N54" s="276">
        <v>7</v>
      </c>
      <c r="O54" s="493">
        <f>129529+680</f>
        <v>130209</v>
      </c>
      <c r="P54" s="494">
        <f>15613+55</f>
        <v>15668</v>
      </c>
      <c r="Q54" s="495">
        <f>10697295+129529+680</f>
        <v>10827504</v>
      </c>
      <c r="R54" s="496">
        <f>1139680+15613+55</f>
        <v>1155348</v>
      </c>
      <c r="S54" s="285">
        <v>40914</v>
      </c>
    </row>
    <row r="55" spans="1:19" ht="15.75">
      <c r="A55" s="240"/>
      <c r="B55" s="240"/>
      <c r="C55" s="240"/>
      <c r="D55" s="240"/>
      <c r="E55" s="241"/>
      <c r="F55" s="242" t="s">
        <v>54</v>
      </c>
      <c r="G55" s="473" t="s">
        <v>104</v>
      </c>
      <c r="H55" s="65" t="s">
        <v>105</v>
      </c>
      <c r="I55" s="68"/>
      <c r="J55" s="68" t="s">
        <v>104</v>
      </c>
      <c r="K55" s="291">
        <v>40872</v>
      </c>
      <c r="L55" s="68" t="s">
        <v>10</v>
      </c>
      <c r="M55" s="372">
        <v>277</v>
      </c>
      <c r="N55" s="394">
        <v>8</v>
      </c>
      <c r="O55" s="423">
        <v>64482</v>
      </c>
      <c r="P55" s="424">
        <v>7909</v>
      </c>
      <c r="Q55" s="393">
        <v>10891986</v>
      </c>
      <c r="R55" s="398">
        <v>1163257</v>
      </c>
      <c r="S55" s="285">
        <v>40921</v>
      </c>
    </row>
    <row r="56" spans="1:19" ht="15.75">
      <c r="A56" s="250" t="s">
        <v>223</v>
      </c>
      <c r="B56" s="240"/>
      <c r="C56" s="240"/>
      <c r="D56" s="240"/>
      <c r="E56" s="244"/>
      <c r="F56" s="244"/>
      <c r="G56" s="243" t="s">
        <v>347</v>
      </c>
      <c r="H56" s="65" t="s">
        <v>126</v>
      </c>
      <c r="I56" s="70" t="s">
        <v>89</v>
      </c>
      <c r="J56" s="70" t="s">
        <v>359</v>
      </c>
      <c r="K56" s="291">
        <v>40914</v>
      </c>
      <c r="L56" s="68" t="s">
        <v>68</v>
      </c>
      <c r="M56" s="530">
        <v>56</v>
      </c>
      <c r="N56" s="492">
        <v>1</v>
      </c>
      <c r="O56" s="493">
        <v>212792</v>
      </c>
      <c r="P56" s="494">
        <v>19942</v>
      </c>
      <c r="Q56" s="495">
        <f>212792</f>
        <v>212792</v>
      </c>
      <c r="R56" s="496">
        <f>19942</f>
        <v>19942</v>
      </c>
      <c r="S56" s="285">
        <v>40914</v>
      </c>
    </row>
    <row r="57" spans="1:19" ht="15.75">
      <c r="A57" s="250" t="s">
        <v>223</v>
      </c>
      <c r="B57" s="240"/>
      <c r="C57" s="240"/>
      <c r="D57" s="240"/>
      <c r="E57" s="244"/>
      <c r="F57" s="244"/>
      <c r="G57" s="243" t="s">
        <v>347</v>
      </c>
      <c r="H57" s="65" t="s">
        <v>126</v>
      </c>
      <c r="I57" s="70" t="s">
        <v>89</v>
      </c>
      <c r="J57" s="70" t="s">
        <v>359</v>
      </c>
      <c r="K57" s="291">
        <v>40914</v>
      </c>
      <c r="L57" s="68" t="s">
        <v>68</v>
      </c>
      <c r="M57" s="372">
        <v>56</v>
      </c>
      <c r="N57" s="373">
        <v>2</v>
      </c>
      <c r="O57" s="423">
        <v>162247.5</v>
      </c>
      <c r="P57" s="424">
        <v>16768</v>
      </c>
      <c r="Q57" s="393">
        <f>212792+162247.5</f>
        <v>375039.5</v>
      </c>
      <c r="R57" s="398">
        <f>19942+16768</f>
        <v>36710</v>
      </c>
      <c r="S57" s="285">
        <v>40921</v>
      </c>
    </row>
    <row r="58" spans="1:19" ht="15.75">
      <c r="A58" s="250" t="s">
        <v>223</v>
      </c>
      <c r="B58" s="255"/>
      <c r="C58" s="240"/>
      <c r="D58" s="255"/>
      <c r="E58" s="244"/>
      <c r="F58" s="244"/>
      <c r="G58" s="243" t="s">
        <v>339</v>
      </c>
      <c r="H58" s="70" t="s">
        <v>358</v>
      </c>
      <c r="I58" s="65" t="s">
        <v>138</v>
      </c>
      <c r="J58" s="70" t="s">
        <v>343</v>
      </c>
      <c r="K58" s="290">
        <v>39472</v>
      </c>
      <c r="L58" s="68" t="s">
        <v>53</v>
      </c>
      <c r="M58" s="354">
        <v>59</v>
      </c>
      <c r="N58" s="507">
        <v>41</v>
      </c>
      <c r="O58" s="508">
        <v>1201</v>
      </c>
      <c r="P58" s="501">
        <v>240</v>
      </c>
      <c r="Q58" s="509">
        <f>395290.5+262822+75939+23709.5+4083+1327+9321+1445+1267+2173+4575+201+1748+3343+728+28+948+1329+163+182+173+15521.5+171+40+110+75+183.5+127+124.5+1976+312+180+12+2398+1799+1799+1799+3598+1201</f>
        <v>822221.5</v>
      </c>
      <c r="R58" s="503">
        <f>47426+32442+9866+4010+887+225+2185+263+226+460+1077+33+367+887+230+4+139+355+32+35+32+3859+49+8+22+15+68+46+45+659+52+30+2+399+300+300+300+600+240</f>
        <v>108175</v>
      </c>
      <c r="S58" s="285">
        <v>40914</v>
      </c>
    </row>
    <row r="59" spans="1:19" ht="15.75">
      <c r="A59" s="240"/>
      <c r="B59" s="240"/>
      <c r="C59" s="240"/>
      <c r="D59" s="240"/>
      <c r="E59" s="244"/>
      <c r="F59" s="252"/>
      <c r="G59" s="248" t="s">
        <v>419</v>
      </c>
      <c r="H59" s="67" t="s">
        <v>422</v>
      </c>
      <c r="I59" s="67" t="s">
        <v>248</v>
      </c>
      <c r="J59" s="67" t="s">
        <v>420</v>
      </c>
      <c r="K59" s="290">
        <v>40746</v>
      </c>
      <c r="L59" s="68" t="s">
        <v>68</v>
      </c>
      <c r="M59" s="372">
        <v>5</v>
      </c>
      <c r="N59" s="373">
        <v>15</v>
      </c>
      <c r="O59" s="423">
        <v>264</v>
      </c>
      <c r="P59" s="424">
        <v>44</v>
      </c>
      <c r="Q59" s="393">
        <f>15287.5+10909.5+3453.5+1267.5+1495+5972+1476+196+990+2893+1323+722+1782+684+264</f>
        <v>48715</v>
      </c>
      <c r="R59" s="398">
        <f>1370+1093+336+155+192+663+166+28+134+385+183+184+446+80+44</f>
        <v>5459</v>
      </c>
      <c r="S59" s="285">
        <v>40921</v>
      </c>
    </row>
    <row r="60" spans="1:19" ht="15.75">
      <c r="A60" s="519"/>
      <c r="B60" s="519"/>
      <c r="C60" s="253"/>
      <c r="D60" s="519"/>
      <c r="E60" s="531"/>
      <c r="F60" s="242" t="s">
        <v>54</v>
      </c>
      <c r="G60" s="511" t="s">
        <v>107</v>
      </c>
      <c r="H60" s="67" t="s">
        <v>123</v>
      </c>
      <c r="I60" s="69"/>
      <c r="J60" s="67" t="s">
        <v>107</v>
      </c>
      <c r="K60" s="290">
        <v>40879</v>
      </c>
      <c r="L60" s="68" t="s">
        <v>68</v>
      </c>
      <c r="M60" s="372">
        <v>202</v>
      </c>
      <c r="N60" s="373">
        <v>5</v>
      </c>
      <c r="O60" s="423">
        <v>299977</v>
      </c>
      <c r="P60" s="424">
        <v>39696</v>
      </c>
      <c r="Q60" s="393">
        <f>1080241.5+1088121+871543+502064+299977</f>
        <v>3841946.5</v>
      </c>
      <c r="R60" s="398">
        <f>121812+123965+100674+61096+39696</f>
        <v>447243</v>
      </c>
      <c r="S60" s="499">
        <v>40907</v>
      </c>
    </row>
    <row r="61" spans="1:19" ht="15.75">
      <c r="A61" s="256"/>
      <c r="B61" s="256"/>
      <c r="C61" s="240"/>
      <c r="D61" s="256"/>
      <c r="E61" s="257"/>
      <c r="F61" s="242" t="s">
        <v>54</v>
      </c>
      <c r="G61" s="511" t="s">
        <v>107</v>
      </c>
      <c r="H61" s="67" t="s">
        <v>123</v>
      </c>
      <c r="I61" s="69"/>
      <c r="J61" s="67" t="s">
        <v>107</v>
      </c>
      <c r="K61" s="290">
        <v>40879</v>
      </c>
      <c r="L61" s="68" t="s">
        <v>68</v>
      </c>
      <c r="M61" s="350">
        <v>202</v>
      </c>
      <c r="N61" s="492">
        <v>6</v>
      </c>
      <c r="O61" s="493">
        <v>131358.5</v>
      </c>
      <c r="P61" s="494">
        <v>19116</v>
      </c>
      <c r="Q61" s="495">
        <f>1080241.5+1088121+871543+502064+300294.5+131358.5</f>
        <v>3973622.5</v>
      </c>
      <c r="R61" s="496">
        <f>121812+123965+100674+61096+39726+19116</f>
        <v>466389</v>
      </c>
      <c r="S61" s="285">
        <v>40914</v>
      </c>
    </row>
    <row r="62" spans="1:19" ht="15.75">
      <c r="A62" s="256"/>
      <c r="B62" s="256"/>
      <c r="C62" s="240"/>
      <c r="D62" s="256"/>
      <c r="E62" s="257"/>
      <c r="F62" s="242" t="s">
        <v>54</v>
      </c>
      <c r="G62" s="511" t="s">
        <v>107</v>
      </c>
      <c r="H62" s="67" t="s">
        <v>123</v>
      </c>
      <c r="I62" s="69"/>
      <c r="J62" s="67" t="s">
        <v>107</v>
      </c>
      <c r="K62" s="290">
        <v>40879</v>
      </c>
      <c r="L62" s="68" t="s">
        <v>68</v>
      </c>
      <c r="M62" s="372">
        <v>202</v>
      </c>
      <c r="N62" s="373">
        <v>7</v>
      </c>
      <c r="O62" s="423">
        <v>96969.5</v>
      </c>
      <c r="P62" s="424">
        <v>14898</v>
      </c>
      <c r="Q62" s="393">
        <f>1080241.5+1088121+871543+502064+300294.5+131358.5+96969.5</f>
        <v>4070592</v>
      </c>
      <c r="R62" s="398">
        <f>121812+123965+100674+61096+39726+19116+14898</f>
        <v>481287</v>
      </c>
      <c r="S62" s="285">
        <v>40921</v>
      </c>
    </row>
    <row r="63" spans="1:19" ht="15.75">
      <c r="A63" s="240"/>
      <c r="B63" s="240"/>
      <c r="C63" s="240"/>
      <c r="D63" s="240"/>
      <c r="E63" s="244"/>
      <c r="F63" s="244"/>
      <c r="G63" s="248" t="s">
        <v>271</v>
      </c>
      <c r="H63" s="65" t="s">
        <v>290</v>
      </c>
      <c r="I63" s="69" t="s">
        <v>79</v>
      </c>
      <c r="J63" s="67" t="s">
        <v>287</v>
      </c>
      <c r="K63" s="290">
        <v>40823</v>
      </c>
      <c r="L63" s="68" t="s">
        <v>68</v>
      </c>
      <c r="M63" s="372">
        <v>10</v>
      </c>
      <c r="N63" s="373">
        <v>12</v>
      </c>
      <c r="O63" s="423">
        <v>3784</v>
      </c>
      <c r="P63" s="424">
        <v>612</v>
      </c>
      <c r="Q63" s="393">
        <f>31458.5+18316.5+9973.5+2181+7429+3551+2891+512+313+372+806+3784</f>
        <v>81587.5</v>
      </c>
      <c r="R63" s="398">
        <f>2922+2132+1224+343+1097+635+770+85+39+50+137+612</f>
        <v>10046</v>
      </c>
      <c r="S63" s="285">
        <v>40921</v>
      </c>
    </row>
    <row r="64" spans="1:19" ht="15.75">
      <c r="A64" s="240"/>
      <c r="B64" s="240"/>
      <c r="C64" s="240"/>
      <c r="D64" s="240"/>
      <c r="E64" s="244"/>
      <c r="F64" s="244"/>
      <c r="G64" s="248" t="s">
        <v>271</v>
      </c>
      <c r="H64" s="65" t="s">
        <v>290</v>
      </c>
      <c r="I64" s="69" t="s">
        <v>79</v>
      </c>
      <c r="J64" s="67" t="s">
        <v>287</v>
      </c>
      <c r="K64" s="290">
        <v>40823</v>
      </c>
      <c r="L64" s="68" t="s">
        <v>68</v>
      </c>
      <c r="M64" s="350">
        <v>10</v>
      </c>
      <c r="N64" s="274">
        <v>10</v>
      </c>
      <c r="O64" s="493">
        <v>806</v>
      </c>
      <c r="P64" s="494">
        <v>137</v>
      </c>
      <c r="Q64" s="495">
        <f>31458.5+18316.5+9973.5+2181+7429+3551+2891+512+313+372+806</f>
        <v>77803.5</v>
      </c>
      <c r="R64" s="496">
        <f>2922+2132+1224+343+1097+635+770+85+39+50+137</f>
        <v>9434</v>
      </c>
      <c r="S64" s="285">
        <v>40914</v>
      </c>
    </row>
    <row r="65" spans="1:19" ht="15.75">
      <c r="A65" s="253"/>
      <c r="B65" s="253"/>
      <c r="C65" s="253"/>
      <c r="D65" s="253"/>
      <c r="E65" s="252"/>
      <c r="F65" s="252"/>
      <c r="G65" s="248" t="s">
        <v>271</v>
      </c>
      <c r="H65" s="65" t="s">
        <v>290</v>
      </c>
      <c r="I65" s="69" t="s">
        <v>79</v>
      </c>
      <c r="J65" s="67" t="s">
        <v>287</v>
      </c>
      <c r="K65" s="290">
        <v>40823</v>
      </c>
      <c r="L65" s="68" t="s">
        <v>68</v>
      </c>
      <c r="M65" s="372">
        <v>10</v>
      </c>
      <c r="N65" s="373">
        <v>10</v>
      </c>
      <c r="O65" s="423">
        <v>372</v>
      </c>
      <c r="P65" s="424">
        <v>50</v>
      </c>
      <c r="Q65" s="393">
        <f>31458.5+18316.5+9973.5+2181+7429+3551+2891+512+313+372</f>
        <v>76997.5</v>
      </c>
      <c r="R65" s="398">
        <f>2922+2132+1224+343+1097+635+770+85+39+50</f>
        <v>9297</v>
      </c>
      <c r="S65" s="499">
        <v>40907</v>
      </c>
    </row>
    <row r="66" spans="1:19" ht="15.75">
      <c r="A66" s="255"/>
      <c r="B66" s="259">
        <v>3</v>
      </c>
      <c r="C66" s="240"/>
      <c r="D66" s="247" t="s">
        <v>292</v>
      </c>
      <c r="E66" s="239"/>
      <c r="F66" s="252"/>
      <c r="G66" s="261" t="s">
        <v>57</v>
      </c>
      <c r="H66" s="65" t="s">
        <v>97</v>
      </c>
      <c r="I66" s="68" t="s">
        <v>95</v>
      </c>
      <c r="J66" s="68" t="s">
        <v>58</v>
      </c>
      <c r="K66" s="291">
        <v>40795</v>
      </c>
      <c r="L66" s="68" t="s">
        <v>10</v>
      </c>
      <c r="M66" s="355">
        <v>142</v>
      </c>
      <c r="N66" s="276">
        <v>18</v>
      </c>
      <c r="O66" s="493">
        <v>3430</v>
      </c>
      <c r="P66" s="494">
        <v>385</v>
      </c>
      <c r="Q66" s="495">
        <f>4013616+3430</f>
        <v>4017046</v>
      </c>
      <c r="R66" s="496">
        <f>390462+385</f>
        <v>390847</v>
      </c>
      <c r="S66" s="285">
        <v>40914</v>
      </c>
    </row>
    <row r="67" spans="1:19" ht="15.75">
      <c r="A67" s="265"/>
      <c r="B67" s="265"/>
      <c r="C67" s="253"/>
      <c r="D67" s="247" t="s">
        <v>292</v>
      </c>
      <c r="E67" s="239"/>
      <c r="F67" s="252"/>
      <c r="G67" s="261" t="s">
        <v>57</v>
      </c>
      <c r="H67" s="65" t="s">
        <v>97</v>
      </c>
      <c r="I67" s="68" t="s">
        <v>95</v>
      </c>
      <c r="J67" s="68" t="s">
        <v>58</v>
      </c>
      <c r="K67" s="291">
        <v>40795</v>
      </c>
      <c r="L67" s="68" t="s">
        <v>10</v>
      </c>
      <c r="M67" s="387">
        <v>142</v>
      </c>
      <c r="N67" s="394">
        <v>17</v>
      </c>
      <c r="O67" s="423">
        <v>948</v>
      </c>
      <c r="P67" s="424">
        <v>133</v>
      </c>
      <c r="Q67" s="393">
        <v>4013616</v>
      </c>
      <c r="R67" s="398">
        <v>390462</v>
      </c>
      <c r="S67" s="499">
        <v>40907</v>
      </c>
    </row>
    <row r="68" spans="1:19" ht="15.75">
      <c r="A68" s="255"/>
      <c r="B68" s="259">
        <v>3</v>
      </c>
      <c r="C68" s="240"/>
      <c r="D68" s="247" t="s">
        <v>292</v>
      </c>
      <c r="E68" s="239"/>
      <c r="F68" s="252"/>
      <c r="G68" s="261" t="s">
        <v>57</v>
      </c>
      <c r="H68" s="65" t="s">
        <v>97</v>
      </c>
      <c r="I68" s="68" t="s">
        <v>95</v>
      </c>
      <c r="J68" s="68" t="s">
        <v>58</v>
      </c>
      <c r="K68" s="291">
        <v>40795</v>
      </c>
      <c r="L68" s="68" t="s">
        <v>10</v>
      </c>
      <c r="M68" s="387">
        <v>142</v>
      </c>
      <c r="N68" s="394">
        <v>19</v>
      </c>
      <c r="O68" s="423">
        <v>180</v>
      </c>
      <c r="P68" s="424">
        <v>30</v>
      </c>
      <c r="Q68" s="393">
        <v>4017226</v>
      </c>
      <c r="R68" s="398">
        <v>390877</v>
      </c>
      <c r="S68" s="285">
        <v>40921</v>
      </c>
    </row>
    <row r="69" spans="1:19" ht="15.75">
      <c r="A69" s="253"/>
      <c r="B69" s="253"/>
      <c r="C69" s="253"/>
      <c r="D69" s="253"/>
      <c r="E69" s="252"/>
      <c r="F69" s="242" t="s">
        <v>54</v>
      </c>
      <c r="G69" s="511" t="s">
        <v>73</v>
      </c>
      <c r="H69" s="67" t="s">
        <v>87</v>
      </c>
      <c r="I69" s="67"/>
      <c r="J69" s="67" t="s">
        <v>73</v>
      </c>
      <c r="K69" s="290">
        <v>40858</v>
      </c>
      <c r="L69" s="68" t="s">
        <v>68</v>
      </c>
      <c r="M69" s="372">
        <v>32</v>
      </c>
      <c r="N69" s="373">
        <v>8</v>
      </c>
      <c r="O69" s="423">
        <v>5519</v>
      </c>
      <c r="P69" s="424">
        <v>782</v>
      </c>
      <c r="Q69" s="393">
        <f>119417+74006.5+30939.5+15734+17682+7740+3814.5+5519</f>
        <v>274852.5</v>
      </c>
      <c r="R69" s="398">
        <f>12383+8559+4204+1986+2778+1301+707+782</f>
        <v>32700</v>
      </c>
      <c r="S69" s="499">
        <v>40907</v>
      </c>
    </row>
    <row r="70" spans="1:19" ht="15.75">
      <c r="A70" s="240"/>
      <c r="B70" s="240"/>
      <c r="C70" s="240"/>
      <c r="D70" s="240"/>
      <c r="E70" s="244"/>
      <c r="F70" s="242" t="s">
        <v>54</v>
      </c>
      <c r="G70" s="511" t="s">
        <v>73</v>
      </c>
      <c r="H70" s="67" t="s">
        <v>87</v>
      </c>
      <c r="I70" s="67"/>
      <c r="J70" s="67" t="s">
        <v>73</v>
      </c>
      <c r="K70" s="290">
        <v>40858</v>
      </c>
      <c r="L70" s="68" t="s">
        <v>68</v>
      </c>
      <c r="M70" s="350">
        <v>32</v>
      </c>
      <c r="N70" s="492">
        <v>9</v>
      </c>
      <c r="O70" s="493">
        <v>937</v>
      </c>
      <c r="P70" s="494">
        <v>165</v>
      </c>
      <c r="Q70" s="495">
        <f>119417+74006.5+30939.5+15734+17682+7740+3814.5+5519+937</f>
        <v>275789.5</v>
      </c>
      <c r="R70" s="496">
        <f>12383+8559+4204+1986+2778+1301+707+782+165</f>
        <v>32865</v>
      </c>
      <c r="S70" s="285">
        <v>40914</v>
      </c>
    </row>
    <row r="71" spans="1:19" ht="15.75">
      <c r="A71" s="240"/>
      <c r="B71" s="240"/>
      <c r="C71" s="240"/>
      <c r="D71" s="240"/>
      <c r="E71" s="244"/>
      <c r="F71" s="242" t="s">
        <v>54</v>
      </c>
      <c r="G71" s="511" t="s">
        <v>73</v>
      </c>
      <c r="H71" s="67" t="s">
        <v>87</v>
      </c>
      <c r="I71" s="67"/>
      <c r="J71" s="67" t="s">
        <v>73</v>
      </c>
      <c r="K71" s="290">
        <v>40858</v>
      </c>
      <c r="L71" s="68" t="s">
        <v>68</v>
      </c>
      <c r="M71" s="372">
        <v>32</v>
      </c>
      <c r="N71" s="373">
        <v>10</v>
      </c>
      <c r="O71" s="423">
        <v>732</v>
      </c>
      <c r="P71" s="424">
        <v>115</v>
      </c>
      <c r="Q71" s="393">
        <f>119417+74006.5+30939.5+15734+17682+7740+3814.5+5519+937+732</f>
        <v>276521.5</v>
      </c>
      <c r="R71" s="398">
        <f>12383+8559+4204+1986+2778+1301+707+782+165+115</f>
        <v>32980</v>
      </c>
      <c r="S71" s="285">
        <v>40921</v>
      </c>
    </row>
    <row r="72" spans="1:19" ht="15.75">
      <c r="A72" s="240"/>
      <c r="B72" s="240"/>
      <c r="C72" s="253"/>
      <c r="D72" s="240"/>
      <c r="E72" s="252"/>
      <c r="F72" s="252"/>
      <c r="G72" s="264" t="s">
        <v>253</v>
      </c>
      <c r="H72" s="68" t="s">
        <v>254</v>
      </c>
      <c r="I72" s="68" t="s">
        <v>79</v>
      </c>
      <c r="J72" s="68" t="s">
        <v>255</v>
      </c>
      <c r="K72" s="290">
        <v>40802</v>
      </c>
      <c r="L72" s="68" t="s">
        <v>13</v>
      </c>
      <c r="M72" s="512">
        <v>8</v>
      </c>
      <c r="N72" s="373">
        <v>14</v>
      </c>
      <c r="O72" s="419">
        <v>302.5</v>
      </c>
      <c r="P72" s="420">
        <v>67</v>
      </c>
      <c r="Q72" s="381">
        <v>73390</v>
      </c>
      <c r="R72" s="382">
        <v>8093</v>
      </c>
      <c r="S72" s="499">
        <v>40907</v>
      </c>
    </row>
    <row r="73" spans="1:19" ht="15.75">
      <c r="A73" s="240"/>
      <c r="B73" s="240"/>
      <c r="C73" s="253"/>
      <c r="D73" s="240"/>
      <c r="E73" s="252"/>
      <c r="F73" s="242" t="s">
        <v>54</v>
      </c>
      <c r="G73" s="532" t="s">
        <v>237</v>
      </c>
      <c r="H73" s="68" t="s">
        <v>238</v>
      </c>
      <c r="I73" s="68"/>
      <c r="J73" s="68" t="s">
        <v>237</v>
      </c>
      <c r="K73" s="290">
        <v>40613</v>
      </c>
      <c r="L73" s="68" t="s">
        <v>13</v>
      </c>
      <c r="M73" s="512">
        <v>25</v>
      </c>
      <c r="N73" s="373">
        <v>19</v>
      </c>
      <c r="O73" s="419">
        <v>594</v>
      </c>
      <c r="P73" s="420">
        <v>118</v>
      </c>
      <c r="Q73" s="381">
        <v>211543.5</v>
      </c>
      <c r="R73" s="382">
        <v>28466</v>
      </c>
      <c r="S73" s="499">
        <v>40907</v>
      </c>
    </row>
    <row r="74" spans="1:19" ht="15.75">
      <c r="A74" s="250" t="s">
        <v>223</v>
      </c>
      <c r="B74" s="240"/>
      <c r="C74" s="240"/>
      <c r="D74" s="240"/>
      <c r="E74" s="251" t="s">
        <v>55</v>
      </c>
      <c r="F74" s="252"/>
      <c r="G74" s="248" t="s">
        <v>418</v>
      </c>
      <c r="H74" s="67" t="s">
        <v>126</v>
      </c>
      <c r="I74" s="67" t="s">
        <v>89</v>
      </c>
      <c r="J74" s="67" t="s">
        <v>421</v>
      </c>
      <c r="K74" s="290">
        <v>40543</v>
      </c>
      <c r="L74" s="68" t="s">
        <v>68</v>
      </c>
      <c r="M74" s="372">
        <v>99</v>
      </c>
      <c r="N74" s="373">
        <v>26</v>
      </c>
      <c r="O74" s="423">
        <v>1425.5</v>
      </c>
      <c r="P74" s="424">
        <v>356</v>
      </c>
      <c r="Q74" s="393">
        <f>74157.5+721285.5+410076+112730.5+28262.5+6646+19483.5+940+1245+2674.5+7128+1782+331+245+6545.5+694+1782+1782+1782+1188+306+1188+3340+316+713+2376+1425.5</f>
        <v>1410425</v>
      </c>
      <c r="R74" s="398">
        <f>7361+62279+35611+10987+4077+689+3901+125+178+502+1781+445+78+59+1496+114+446+446+446+297+61+297+668+53+178+594+356</f>
        <v>133525</v>
      </c>
      <c r="S74" s="285">
        <v>40921</v>
      </c>
    </row>
    <row r="75" spans="1:19" ht="15.75">
      <c r="A75" s="253"/>
      <c r="B75" s="259">
        <v>3</v>
      </c>
      <c r="C75" s="253"/>
      <c r="D75" s="240"/>
      <c r="E75" s="252"/>
      <c r="F75" s="252"/>
      <c r="G75" s="248" t="s">
        <v>282</v>
      </c>
      <c r="H75" s="65" t="s">
        <v>281</v>
      </c>
      <c r="I75" s="69" t="s">
        <v>248</v>
      </c>
      <c r="J75" s="67" t="s">
        <v>280</v>
      </c>
      <c r="K75" s="290">
        <v>40767</v>
      </c>
      <c r="L75" s="68" t="s">
        <v>68</v>
      </c>
      <c r="M75" s="372">
        <v>39</v>
      </c>
      <c r="N75" s="510">
        <v>17</v>
      </c>
      <c r="O75" s="423">
        <v>754.5</v>
      </c>
      <c r="P75" s="424">
        <v>110</v>
      </c>
      <c r="Q75" s="393">
        <f>227782+93706+36180+21819+14718.5+11547.5+9757.5+8598+8681+8538+4936.5+48+662+5495+26+1437+754.5</f>
        <v>454686.5</v>
      </c>
      <c r="R75" s="398">
        <f>21125+9522+4298+2881+1947+1746+1401+1176+1202+1176+682+7+103+939+4+204+110</f>
        <v>48523</v>
      </c>
      <c r="S75" s="499">
        <v>40907</v>
      </c>
    </row>
    <row r="76" spans="1:19" ht="15.75">
      <c r="A76" s="240"/>
      <c r="B76" s="259">
        <v>3</v>
      </c>
      <c r="C76" s="253"/>
      <c r="D76" s="240"/>
      <c r="E76" s="244"/>
      <c r="F76" s="252"/>
      <c r="G76" s="248" t="s">
        <v>282</v>
      </c>
      <c r="H76" s="65" t="s">
        <v>281</v>
      </c>
      <c r="I76" s="69" t="s">
        <v>248</v>
      </c>
      <c r="J76" s="67" t="s">
        <v>280</v>
      </c>
      <c r="K76" s="290">
        <v>40767</v>
      </c>
      <c r="L76" s="68" t="s">
        <v>68</v>
      </c>
      <c r="M76" s="350">
        <v>39</v>
      </c>
      <c r="N76" s="274">
        <v>17</v>
      </c>
      <c r="O76" s="493">
        <v>389.5</v>
      </c>
      <c r="P76" s="494">
        <v>56</v>
      </c>
      <c r="Q76" s="495">
        <f>227782+93706+36180+21819+14718.5+11547.5+9757.5+8598+8681+8538+4936.5+48+662+5495+26+1437+754.5+389.5</f>
        <v>455076</v>
      </c>
      <c r="R76" s="496">
        <f>21125+9522+4298+2881+1947+1746+1401+1176+1202+1176+682+7+103+939+4+204+110+56</f>
        <v>48579</v>
      </c>
      <c r="S76" s="285">
        <v>40914</v>
      </c>
    </row>
    <row r="77" spans="1:19" ht="15.75">
      <c r="A77" s="240"/>
      <c r="B77" s="240"/>
      <c r="C77" s="253"/>
      <c r="D77" s="240"/>
      <c r="E77" s="251" t="s">
        <v>55</v>
      </c>
      <c r="F77" s="252"/>
      <c r="G77" s="261" t="s">
        <v>157</v>
      </c>
      <c r="H77" s="68" t="s">
        <v>163</v>
      </c>
      <c r="I77" s="68" t="s">
        <v>128</v>
      </c>
      <c r="J77" s="68" t="s">
        <v>160</v>
      </c>
      <c r="K77" s="290">
        <v>40907</v>
      </c>
      <c r="L77" s="68" t="s">
        <v>13</v>
      </c>
      <c r="M77" s="372">
        <v>2</v>
      </c>
      <c r="N77" s="373">
        <v>1</v>
      </c>
      <c r="O77" s="419">
        <v>2845</v>
      </c>
      <c r="P77" s="420">
        <v>437</v>
      </c>
      <c r="Q77" s="381">
        <v>2845</v>
      </c>
      <c r="R77" s="382">
        <v>437</v>
      </c>
      <c r="S77" s="499">
        <v>40907</v>
      </c>
    </row>
    <row r="78" spans="1:19" ht="15.75">
      <c r="A78" s="250" t="s">
        <v>223</v>
      </c>
      <c r="B78" s="253"/>
      <c r="C78" s="253"/>
      <c r="D78" s="253"/>
      <c r="E78" s="251" t="s">
        <v>55</v>
      </c>
      <c r="F78" s="252"/>
      <c r="G78" s="261" t="s">
        <v>152</v>
      </c>
      <c r="H78" s="65" t="s">
        <v>217</v>
      </c>
      <c r="I78" s="66" t="s">
        <v>94</v>
      </c>
      <c r="J78" s="68" t="s">
        <v>152</v>
      </c>
      <c r="K78" s="290">
        <v>40676</v>
      </c>
      <c r="L78" s="68" t="s">
        <v>12</v>
      </c>
      <c r="M78" s="372">
        <v>100</v>
      </c>
      <c r="N78" s="373">
        <v>34</v>
      </c>
      <c r="O78" s="521">
        <v>372</v>
      </c>
      <c r="P78" s="522">
        <v>46</v>
      </c>
      <c r="Q78" s="383">
        <v>1184752</v>
      </c>
      <c r="R78" s="384">
        <v>129821</v>
      </c>
      <c r="S78" s="499">
        <v>40907</v>
      </c>
    </row>
    <row r="79" spans="1:19" ht="15.75">
      <c r="A79" s="250" t="s">
        <v>223</v>
      </c>
      <c r="B79" s="265"/>
      <c r="C79" s="253"/>
      <c r="D79" s="265"/>
      <c r="E79" s="252"/>
      <c r="F79" s="348"/>
      <c r="G79" s="243" t="s">
        <v>176</v>
      </c>
      <c r="H79" s="70" t="s">
        <v>179</v>
      </c>
      <c r="I79" s="65" t="s">
        <v>138</v>
      </c>
      <c r="J79" s="70" t="s">
        <v>180</v>
      </c>
      <c r="K79" s="290">
        <v>40837</v>
      </c>
      <c r="L79" s="68" t="s">
        <v>53</v>
      </c>
      <c r="M79" s="402">
        <v>33</v>
      </c>
      <c r="N79" s="403">
        <v>5</v>
      </c>
      <c r="O79" s="419">
        <v>511</v>
      </c>
      <c r="P79" s="420">
        <v>50</v>
      </c>
      <c r="Q79" s="395">
        <v>307870</v>
      </c>
      <c r="R79" s="396">
        <v>23173</v>
      </c>
      <c r="S79" s="499">
        <v>40907</v>
      </c>
    </row>
    <row r="80" spans="1:19" ht="15.75">
      <c r="A80" s="240"/>
      <c r="B80" s="240"/>
      <c r="C80" s="240"/>
      <c r="D80" s="240"/>
      <c r="E80" s="244"/>
      <c r="F80" s="244"/>
      <c r="G80" s="261" t="s">
        <v>159</v>
      </c>
      <c r="H80" s="68" t="s">
        <v>164</v>
      </c>
      <c r="I80" s="68" t="s">
        <v>79</v>
      </c>
      <c r="J80" s="68" t="s">
        <v>165</v>
      </c>
      <c r="K80" s="291">
        <v>40886</v>
      </c>
      <c r="L80" s="68" t="s">
        <v>13</v>
      </c>
      <c r="M80" s="372">
        <v>3</v>
      </c>
      <c r="N80" s="373">
        <v>5</v>
      </c>
      <c r="O80" s="419">
        <v>3735</v>
      </c>
      <c r="P80" s="420">
        <v>565</v>
      </c>
      <c r="Q80" s="381">
        <v>14161</v>
      </c>
      <c r="R80" s="382">
        <v>2041</v>
      </c>
      <c r="S80" s="285">
        <v>40921</v>
      </c>
    </row>
    <row r="81" spans="1:19" ht="15.75">
      <c r="A81" s="240"/>
      <c r="B81" s="240"/>
      <c r="C81" s="240"/>
      <c r="D81" s="240"/>
      <c r="E81" s="244"/>
      <c r="F81" s="244"/>
      <c r="G81" s="261" t="s">
        <v>159</v>
      </c>
      <c r="H81" s="68" t="s">
        <v>164</v>
      </c>
      <c r="I81" s="68" t="s">
        <v>79</v>
      </c>
      <c r="J81" s="68" t="s">
        <v>165</v>
      </c>
      <c r="K81" s="291">
        <v>40886</v>
      </c>
      <c r="L81" s="68" t="s">
        <v>13</v>
      </c>
      <c r="M81" s="350">
        <v>3</v>
      </c>
      <c r="N81" s="533">
        <v>4</v>
      </c>
      <c r="O81" s="500">
        <v>402</v>
      </c>
      <c r="P81" s="501">
        <v>90</v>
      </c>
      <c r="Q81" s="502">
        <v>12356</v>
      </c>
      <c r="R81" s="503">
        <v>1772</v>
      </c>
      <c r="S81" s="285">
        <v>40914</v>
      </c>
    </row>
    <row r="82" spans="1:19" ht="15.75">
      <c r="A82" s="240"/>
      <c r="B82" s="240"/>
      <c r="C82" s="253"/>
      <c r="D82" s="240"/>
      <c r="E82" s="252"/>
      <c r="F82" s="252"/>
      <c r="G82" s="261" t="s">
        <v>159</v>
      </c>
      <c r="H82" s="68" t="s">
        <v>164</v>
      </c>
      <c r="I82" s="68" t="s">
        <v>79</v>
      </c>
      <c r="J82" s="68" t="s">
        <v>165</v>
      </c>
      <c r="K82" s="291">
        <v>40886</v>
      </c>
      <c r="L82" s="68" t="s">
        <v>13</v>
      </c>
      <c r="M82" s="372">
        <v>3</v>
      </c>
      <c r="N82" s="373">
        <v>3</v>
      </c>
      <c r="O82" s="419">
        <v>368</v>
      </c>
      <c r="P82" s="420">
        <v>44</v>
      </c>
      <c r="Q82" s="381">
        <v>11954</v>
      </c>
      <c r="R82" s="382">
        <v>1682</v>
      </c>
      <c r="S82" s="499">
        <v>40907</v>
      </c>
    </row>
    <row r="83" spans="1:19" ht="15.75">
      <c r="A83" s="253"/>
      <c r="B83" s="259">
        <v>3</v>
      </c>
      <c r="C83" s="253"/>
      <c r="D83" s="240"/>
      <c r="E83" s="252"/>
      <c r="F83" s="252"/>
      <c r="G83" s="258" t="s">
        <v>72</v>
      </c>
      <c r="H83" s="65" t="s">
        <v>83</v>
      </c>
      <c r="I83" s="65" t="s">
        <v>189</v>
      </c>
      <c r="J83" s="65" t="s">
        <v>182</v>
      </c>
      <c r="K83" s="290">
        <v>40858</v>
      </c>
      <c r="L83" s="68" t="s">
        <v>8</v>
      </c>
      <c r="M83" s="372">
        <v>132</v>
      </c>
      <c r="N83" s="388">
        <v>8</v>
      </c>
      <c r="O83" s="423">
        <v>11571</v>
      </c>
      <c r="P83" s="424">
        <v>1573</v>
      </c>
      <c r="Q83" s="393">
        <v>314058</v>
      </c>
      <c r="R83" s="398">
        <v>39844</v>
      </c>
      <c r="S83" s="499">
        <v>40907</v>
      </c>
    </row>
    <row r="84" spans="1:19" ht="15.75">
      <c r="A84" s="253"/>
      <c r="B84" s="259">
        <v>3</v>
      </c>
      <c r="C84" s="253"/>
      <c r="D84" s="240"/>
      <c r="E84" s="252"/>
      <c r="F84" s="244"/>
      <c r="G84" s="258" t="s">
        <v>72</v>
      </c>
      <c r="H84" s="65" t="s">
        <v>83</v>
      </c>
      <c r="I84" s="65" t="s">
        <v>189</v>
      </c>
      <c r="J84" s="65" t="s">
        <v>182</v>
      </c>
      <c r="K84" s="290">
        <v>40858</v>
      </c>
      <c r="L84" s="68" t="s">
        <v>8</v>
      </c>
      <c r="M84" s="350">
        <v>132</v>
      </c>
      <c r="N84" s="266">
        <v>9</v>
      </c>
      <c r="O84" s="493">
        <v>6952</v>
      </c>
      <c r="P84" s="494">
        <v>968</v>
      </c>
      <c r="Q84" s="495">
        <v>6001835</v>
      </c>
      <c r="R84" s="496">
        <v>539058</v>
      </c>
      <c r="S84" s="285">
        <v>40914</v>
      </c>
    </row>
    <row r="85" spans="1:19" ht="15.75">
      <c r="A85" s="253"/>
      <c r="B85" s="259">
        <v>3</v>
      </c>
      <c r="C85" s="253"/>
      <c r="D85" s="240"/>
      <c r="E85" s="252"/>
      <c r="F85" s="244"/>
      <c r="G85" s="258" t="s">
        <v>72</v>
      </c>
      <c r="H85" s="65" t="s">
        <v>83</v>
      </c>
      <c r="I85" s="65" t="s">
        <v>189</v>
      </c>
      <c r="J85" s="65" t="s">
        <v>182</v>
      </c>
      <c r="K85" s="290">
        <v>40858</v>
      </c>
      <c r="L85" s="68" t="s">
        <v>8</v>
      </c>
      <c r="M85" s="372">
        <v>132</v>
      </c>
      <c r="N85" s="388">
        <v>10</v>
      </c>
      <c r="O85" s="421">
        <v>4875</v>
      </c>
      <c r="P85" s="422">
        <v>894</v>
      </c>
      <c r="Q85" s="393">
        <v>6004374</v>
      </c>
      <c r="R85" s="398">
        <v>539462</v>
      </c>
      <c r="S85" s="285">
        <v>40921</v>
      </c>
    </row>
    <row r="86" spans="1:19" ht="15.75">
      <c r="A86" s="253"/>
      <c r="B86" s="253"/>
      <c r="C86" s="253"/>
      <c r="D86" s="253"/>
      <c r="E86" s="252"/>
      <c r="F86" s="252"/>
      <c r="G86" s="248" t="s">
        <v>69</v>
      </c>
      <c r="H86" s="65" t="s">
        <v>88</v>
      </c>
      <c r="I86" s="67" t="s">
        <v>89</v>
      </c>
      <c r="J86" s="69" t="s">
        <v>70</v>
      </c>
      <c r="K86" s="291">
        <v>40844</v>
      </c>
      <c r="L86" s="68" t="s">
        <v>68</v>
      </c>
      <c r="M86" s="372">
        <v>65</v>
      </c>
      <c r="N86" s="373">
        <v>10</v>
      </c>
      <c r="O86" s="423">
        <v>7426</v>
      </c>
      <c r="P86" s="424">
        <v>1233</v>
      </c>
      <c r="Q86" s="393">
        <f>436701.5+604505+232735.5+57290.5+18114+16414.5+17253.5+4587+2405+7426</f>
        <v>1397432.5</v>
      </c>
      <c r="R86" s="398">
        <f>39979+54264+21249+5324+1678+2463+2408+819+357+1233</f>
        <v>129774</v>
      </c>
      <c r="S86" s="499">
        <v>40907</v>
      </c>
    </row>
    <row r="87" spans="1:19" ht="15.75">
      <c r="A87" s="240"/>
      <c r="B87" s="240"/>
      <c r="C87" s="240"/>
      <c r="D87" s="240"/>
      <c r="E87" s="244"/>
      <c r="F87" s="244"/>
      <c r="G87" s="248" t="s">
        <v>69</v>
      </c>
      <c r="H87" s="65" t="s">
        <v>88</v>
      </c>
      <c r="I87" s="67" t="s">
        <v>89</v>
      </c>
      <c r="J87" s="69" t="s">
        <v>70</v>
      </c>
      <c r="K87" s="291">
        <v>40844</v>
      </c>
      <c r="L87" s="68" t="s">
        <v>68</v>
      </c>
      <c r="M87" s="350">
        <v>65</v>
      </c>
      <c r="N87" s="492">
        <v>11</v>
      </c>
      <c r="O87" s="493">
        <v>2522</v>
      </c>
      <c r="P87" s="494">
        <v>383</v>
      </c>
      <c r="Q87" s="495">
        <f>436701.5+604505+232735.5+57290.5+18114+16414.5+17253.5+4587+2405+7426+2522</f>
        <v>1399954.5</v>
      </c>
      <c r="R87" s="496">
        <f>39979+54264+21249+5324+1678+2463+2408+819+357+1233+383</f>
        <v>130157</v>
      </c>
      <c r="S87" s="285">
        <v>40914</v>
      </c>
    </row>
    <row r="88" spans="1:19" ht="15.75">
      <c r="A88" s="240"/>
      <c r="B88" s="240"/>
      <c r="C88" s="240"/>
      <c r="D88" s="240"/>
      <c r="E88" s="244"/>
      <c r="F88" s="252"/>
      <c r="G88" s="248" t="s">
        <v>417</v>
      </c>
      <c r="H88" s="67" t="s">
        <v>423</v>
      </c>
      <c r="I88" s="67" t="s">
        <v>89</v>
      </c>
      <c r="J88" s="67" t="s">
        <v>417</v>
      </c>
      <c r="K88" s="290">
        <v>40886</v>
      </c>
      <c r="L88" s="68" t="s">
        <v>68</v>
      </c>
      <c r="M88" s="372">
        <v>9</v>
      </c>
      <c r="N88" s="373">
        <v>3</v>
      </c>
      <c r="O88" s="423">
        <v>1422</v>
      </c>
      <c r="P88" s="424">
        <v>240</v>
      </c>
      <c r="Q88" s="393">
        <f>55869.5+42730+1422</f>
        <v>100021.5</v>
      </c>
      <c r="R88" s="398">
        <f>3902+3837+240</f>
        <v>7979</v>
      </c>
      <c r="S88" s="285">
        <v>40921</v>
      </c>
    </row>
    <row r="89" spans="1:19" ht="15.75">
      <c r="A89" s="240"/>
      <c r="B89" s="240"/>
      <c r="C89" s="240"/>
      <c r="D89" s="240"/>
      <c r="E89" s="244"/>
      <c r="F89" s="244"/>
      <c r="G89" s="264" t="s">
        <v>258</v>
      </c>
      <c r="H89" s="68" t="s">
        <v>259</v>
      </c>
      <c r="I89" s="68" t="s">
        <v>260</v>
      </c>
      <c r="J89" s="68" t="s">
        <v>239</v>
      </c>
      <c r="K89" s="290">
        <v>40725</v>
      </c>
      <c r="L89" s="68" t="s">
        <v>13</v>
      </c>
      <c r="M89" s="350">
        <v>3</v>
      </c>
      <c r="N89" s="274">
        <v>20</v>
      </c>
      <c r="O89" s="500">
        <v>2970</v>
      </c>
      <c r="P89" s="501">
        <v>594</v>
      </c>
      <c r="Q89" s="502">
        <v>65729</v>
      </c>
      <c r="R89" s="503">
        <v>8049</v>
      </c>
      <c r="S89" s="285">
        <v>40914</v>
      </c>
    </row>
    <row r="90" spans="1:19" ht="15.75">
      <c r="A90" s="240"/>
      <c r="B90" s="240"/>
      <c r="C90" s="253"/>
      <c r="D90" s="240"/>
      <c r="E90" s="252"/>
      <c r="F90" s="252"/>
      <c r="G90" s="264" t="s">
        <v>258</v>
      </c>
      <c r="H90" s="68" t="s">
        <v>259</v>
      </c>
      <c r="I90" s="68" t="s">
        <v>260</v>
      </c>
      <c r="J90" s="68" t="s">
        <v>239</v>
      </c>
      <c r="K90" s="290">
        <v>40725</v>
      </c>
      <c r="L90" s="68" t="s">
        <v>13</v>
      </c>
      <c r="M90" s="512">
        <v>3</v>
      </c>
      <c r="N90" s="373">
        <v>19</v>
      </c>
      <c r="O90" s="419">
        <v>1188</v>
      </c>
      <c r="P90" s="420">
        <v>237</v>
      </c>
      <c r="Q90" s="381">
        <v>62759</v>
      </c>
      <c r="R90" s="382">
        <v>7455</v>
      </c>
      <c r="S90" s="499">
        <v>40907</v>
      </c>
    </row>
    <row r="91" spans="1:19" ht="15.75">
      <c r="A91" s="253"/>
      <c r="B91" s="240"/>
      <c r="C91" s="240"/>
      <c r="D91" s="247" t="s">
        <v>292</v>
      </c>
      <c r="E91" s="240"/>
      <c r="F91" s="244"/>
      <c r="G91" s="245" t="s">
        <v>402</v>
      </c>
      <c r="H91" s="65" t="s">
        <v>83</v>
      </c>
      <c r="I91" s="72" t="s">
        <v>94</v>
      </c>
      <c r="J91" s="72" t="s">
        <v>407</v>
      </c>
      <c r="K91" s="290">
        <v>40844</v>
      </c>
      <c r="L91" s="68" t="s">
        <v>12</v>
      </c>
      <c r="M91" s="372">
        <v>41</v>
      </c>
      <c r="N91" s="373">
        <v>12</v>
      </c>
      <c r="O91" s="419">
        <v>1192</v>
      </c>
      <c r="P91" s="420">
        <v>188</v>
      </c>
      <c r="Q91" s="383">
        <v>513253</v>
      </c>
      <c r="R91" s="384">
        <v>42102</v>
      </c>
      <c r="S91" s="285">
        <v>40921</v>
      </c>
    </row>
    <row r="92" spans="1:19" ht="15.75">
      <c r="A92" s="240"/>
      <c r="B92" s="240"/>
      <c r="C92" s="240"/>
      <c r="D92" s="240"/>
      <c r="E92" s="244"/>
      <c r="F92" s="242" t="s">
        <v>54</v>
      </c>
      <c r="G92" s="511" t="s">
        <v>361</v>
      </c>
      <c r="H92" s="67" t="s">
        <v>375</v>
      </c>
      <c r="I92" s="69"/>
      <c r="J92" s="67" t="s">
        <v>361</v>
      </c>
      <c r="K92" s="290">
        <v>40676</v>
      </c>
      <c r="L92" s="68" t="s">
        <v>68</v>
      </c>
      <c r="M92" s="350">
        <v>10</v>
      </c>
      <c r="N92" s="492">
        <v>20</v>
      </c>
      <c r="O92" s="493">
        <v>3801.5</v>
      </c>
      <c r="P92" s="494">
        <v>950</v>
      </c>
      <c r="Q92" s="495">
        <f>19776.5+5289.5+3941.5+4149+6030.5+491+2263+886+669+235+576+182+578+116+1188+1782+1782+1782+1782+3801.5</f>
        <v>57300.5</v>
      </c>
      <c r="R92" s="496">
        <f>2214+710+772+646+1024+103+434+139+105+46+100+16+62+13+297+446+446+446+446+950</f>
        <v>9415</v>
      </c>
      <c r="S92" s="285">
        <v>40914</v>
      </c>
    </row>
    <row r="93" spans="1:19" ht="15.75">
      <c r="A93" s="240"/>
      <c r="B93" s="240"/>
      <c r="C93" s="240"/>
      <c r="D93" s="240"/>
      <c r="E93" s="244"/>
      <c r="F93" s="242" t="s">
        <v>54</v>
      </c>
      <c r="G93" s="511" t="s">
        <v>361</v>
      </c>
      <c r="H93" s="67" t="s">
        <v>375</v>
      </c>
      <c r="I93" s="69"/>
      <c r="J93" s="67" t="s">
        <v>361</v>
      </c>
      <c r="K93" s="290">
        <v>40676</v>
      </c>
      <c r="L93" s="68" t="s">
        <v>68</v>
      </c>
      <c r="M93" s="372">
        <v>10</v>
      </c>
      <c r="N93" s="373">
        <v>20</v>
      </c>
      <c r="O93" s="423">
        <v>2138.5</v>
      </c>
      <c r="P93" s="424">
        <v>535</v>
      </c>
      <c r="Q93" s="393">
        <f>19776.5+5289.5+3941.5+4149+6030.5+491+2263+886+669+235+576+182+578+116+1188+1782+1782+1782+1782+3801.5+2138.5</f>
        <v>59439</v>
      </c>
      <c r="R93" s="398">
        <f>2214+710+772+646+1024+103+434+139+105+46+100+16+62+13+297+446+446+446+446+950+535</f>
        <v>9950</v>
      </c>
      <c r="S93" s="285">
        <v>40921</v>
      </c>
    </row>
    <row r="94" spans="1:19" ht="15.75">
      <c r="A94" s="240"/>
      <c r="B94" s="240"/>
      <c r="C94" s="240"/>
      <c r="D94" s="240"/>
      <c r="E94" s="251" t="s">
        <v>55</v>
      </c>
      <c r="F94" s="252"/>
      <c r="G94" s="248" t="s">
        <v>382</v>
      </c>
      <c r="H94" s="67" t="s">
        <v>381</v>
      </c>
      <c r="I94" s="67" t="s">
        <v>128</v>
      </c>
      <c r="J94" s="67" t="s">
        <v>374</v>
      </c>
      <c r="K94" s="290">
        <v>40746</v>
      </c>
      <c r="L94" s="68" t="s">
        <v>68</v>
      </c>
      <c r="M94" s="372">
        <v>1</v>
      </c>
      <c r="N94" s="373">
        <v>8</v>
      </c>
      <c r="O94" s="423">
        <v>2138.5</v>
      </c>
      <c r="P94" s="424">
        <v>535</v>
      </c>
      <c r="Q94" s="393">
        <f>5298+3611+922.5+907+181+268.5+2138.5+2138.5+2138.5</f>
        <v>17603.5</v>
      </c>
      <c r="R94" s="398">
        <f>334+225+67+122+18+21+535+535+535</f>
        <v>2392</v>
      </c>
      <c r="S94" s="285">
        <v>40921</v>
      </c>
    </row>
    <row r="95" spans="1:19" ht="15.75">
      <c r="A95" s="240"/>
      <c r="B95" s="240"/>
      <c r="C95" s="240"/>
      <c r="D95" s="240"/>
      <c r="E95" s="251" t="s">
        <v>55</v>
      </c>
      <c r="F95" s="252"/>
      <c r="G95" s="248" t="s">
        <v>382</v>
      </c>
      <c r="H95" s="67" t="s">
        <v>381</v>
      </c>
      <c r="I95" s="67" t="s">
        <v>128</v>
      </c>
      <c r="J95" s="67" t="s">
        <v>374</v>
      </c>
      <c r="K95" s="290">
        <v>40746</v>
      </c>
      <c r="L95" s="68" t="s">
        <v>68</v>
      </c>
      <c r="M95" s="350">
        <v>1</v>
      </c>
      <c r="N95" s="492">
        <v>8</v>
      </c>
      <c r="O95" s="493">
        <v>2138.5</v>
      </c>
      <c r="P95" s="494">
        <v>535</v>
      </c>
      <c r="Q95" s="495">
        <f>5298+3611+922.5+907+181+268.5+2138.5+2138.5</f>
        <v>15465</v>
      </c>
      <c r="R95" s="496">
        <f>334+225+67+122+18+21+535+535</f>
        <v>1857</v>
      </c>
      <c r="S95" s="285">
        <v>40914</v>
      </c>
    </row>
    <row r="96" spans="1:19" ht="15.75">
      <c r="A96" s="240"/>
      <c r="B96" s="240"/>
      <c r="C96" s="240"/>
      <c r="D96" s="240"/>
      <c r="E96" s="244"/>
      <c r="F96" s="242" t="s">
        <v>54</v>
      </c>
      <c r="G96" s="511" t="s">
        <v>416</v>
      </c>
      <c r="H96" s="67" t="s">
        <v>218</v>
      </c>
      <c r="I96" s="67"/>
      <c r="J96" s="67" t="s">
        <v>416</v>
      </c>
      <c r="K96" s="290">
        <v>40627</v>
      </c>
      <c r="L96" s="68" t="s">
        <v>68</v>
      </c>
      <c r="M96" s="372">
        <v>137</v>
      </c>
      <c r="N96" s="373">
        <v>25</v>
      </c>
      <c r="O96" s="423">
        <v>3801.5</v>
      </c>
      <c r="P96" s="424">
        <v>950</v>
      </c>
      <c r="Q96" s="393">
        <f>1066061.5+1061275+813239.75+606216+468367.5+266511+137274.5+89937.5+9478+4671.5+2215.5+593.5+2273.5+2234+1858+10514.5+2603+2122+2001+349+713+2613.5+475.5+3801.5</f>
        <v>4557399.75</v>
      </c>
      <c r="R96" s="398">
        <f>110278+106719+82858+62672+50883+32012+17904+13463+1427+637+352+91+261+268+240+2410+402+325+272+26+178+653+109+950</f>
        <v>485390</v>
      </c>
      <c r="S96" s="285">
        <v>40921</v>
      </c>
    </row>
    <row r="97" spans="1:19" ht="15.75">
      <c r="A97" s="250" t="s">
        <v>223</v>
      </c>
      <c r="B97" s="240"/>
      <c r="C97" s="240"/>
      <c r="D97" s="247" t="s">
        <v>292</v>
      </c>
      <c r="E97" s="251" t="s">
        <v>55</v>
      </c>
      <c r="F97" s="244"/>
      <c r="G97" s="245" t="s">
        <v>103</v>
      </c>
      <c r="H97" s="65" t="s">
        <v>91</v>
      </c>
      <c r="I97" s="72" t="s">
        <v>94</v>
      </c>
      <c r="J97" s="72" t="s">
        <v>103</v>
      </c>
      <c r="K97" s="290">
        <v>40704</v>
      </c>
      <c r="L97" s="68" t="s">
        <v>12</v>
      </c>
      <c r="M97" s="350">
        <v>144</v>
      </c>
      <c r="N97" s="274">
        <v>31</v>
      </c>
      <c r="O97" s="500">
        <v>1197</v>
      </c>
      <c r="P97" s="501">
        <v>189</v>
      </c>
      <c r="Q97" s="502">
        <v>3760800</v>
      </c>
      <c r="R97" s="503">
        <v>344761</v>
      </c>
      <c r="S97" s="285">
        <v>40914</v>
      </c>
    </row>
    <row r="98" spans="1:19" ht="15.75">
      <c r="A98" s="250" t="s">
        <v>223</v>
      </c>
      <c r="B98" s="253"/>
      <c r="C98" s="253"/>
      <c r="D98" s="247" t="s">
        <v>292</v>
      </c>
      <c r="E98" s="251" t="s">
        <v>55</v>
      </c>
      <c r="F98" s="239"/>
      <c r="G98" s="245" t="s">
        <v>103</v>
      </c>
      <c r="H98" s="65" t="s">
        <v>91</v>
      </c>
      <c r="I98" s="72" t="s">
        <v>94</v>
      </c>
      <c r="J98" s="72" t="s">
        <v>103</v>
      </c>
      <c r="K98" s="291">
        <v>40704</v>
      </c>
      <c r="L98" s="68" t="s">
        <v>12</v>
      </c>
      <c r="M98" s="372">
        <v>144</v>
      </c>
      <c r="N98" s="373">
        <v>30</v>
      </c>
      <c r="O98" s="521">
        <v>45</v>
      </c>
      <c r="P98" s="522">
        <v>9</v>
      </c>
      <c r="Q98" s="383">
        <v>3759603</v>
      </c>
      <c r="R98" s="384">
        <v>344572</v>
      </c>
      <c r="S98" s="499">
        <v>40907</v>
      </c>
    </row>
    <row r="99" spans="1:19" ht="15.75">
      <c r="A99" s="240"/>
      <c r="B99" s="240"/>
      <c r="C99" s="240"/>
      <c r="D99" s="240"/>
      <c r="E99" s="244"/>
      <c r="F99" s="242" t="s">
        <v>54</v>
      </c>
      <c r="G99" s="473" t="s">
        <v>350</v>
      </c>
      <c r="H99" s="65" t="s">
        <v>351</v>
      </c>
      <c r="I99" s="72" t="s">
        <v>94</v>
      </c>
      <c r="J99" s="72" t="s">
        <v>350</v>
      </c>
      <c r="K99" s="290">
        <v>40914</v>
      </c>
      <c r="L99" s="68" t="s">
        <v>12</v>
      </c>
      <c r="M99" s="350">
        <v>204</v>
      </c>
      <c r="N99" s="274">
        <v>1</v>
      </c>
      <c r="O99" s="500">
        <v>1571916</v>
      </c>
      <c r="P99" s="501">
        <v>166869</v>
      </c>
      <c r="Q99" s="502">
        <v>1571916</v>
      </c>
      <c r="R99" s="503">
        <v>166869</v>
      </c>
      <c r="S99" s="285">
        <v>40914</v>
      </c>
    </row>
    <row r="100" spans="1:19" ht="15.75">
      <c r="A100" s="240"/>
      <c r="B100" s="240"/>
      <c r="C100" s="240"/>
      <c r="D100" s="240"/>
      <c r="E100" s="244"/>
      <c r="F100" s="242" t="s">
        <v>54</v>
      </c>
      <c r="G100" s="473" t="s">
        <v>350</v>
      </c>
      <c r="H100" s="65" t="s">
        <v>351</v>
      </c>
      <c r="I100" s="72" t="s">
        <v>94</v>
      </c>
      <c r="J100" s="72" t="s">
        <v>350</v>
      </c>
      <c r="K100" s="290">
        <v>40914</v>
      </c>
      <c r="L100" s="68" t="s">
        <v>12</v>
      </c>
      <c r="M100" s="372">
        <v>204</v>
      </c>
      <c r="N100" s="373">
        <v>2</v>
      </c>
      <c r="O100" s="419">
        <v>1545867</v>
      </c>
      <c r="P100" s="420">
        <v>166896</v>
      </c>
      <c r="Q100" s="383">
        <v>3117783</v>
      </c>
      <c r="R100" s="384">
        <v>333765</v>
      </c>
      <c r="S100" s="285">
        <v>40921</v>
      </c>
    </row>
    <row r="101" spans="1:19" ht="15.75">
      <c r="A101" s="256"/>
      <c r="B101" s="256"/>
      <c r="C101" s="240"/>
      <c r="D101" s="256"/>
      <c r="E101" s="244"/>
      <c r="F101" s="252"/>
      <c r="G101" s="261" t="s">
        <v>395</v>
      </c>
      <c r="H101" s="65" t="s">
        <v>394</v>
      </c>
      <c r="I101" s="68" t="s">
        <v>248</v>
      </c>
      <c r="J101" s="68" t="s">
        <v>396</v>
      </c>
      <c r="K101" s="290">
        <v>40893</v>
      </c>
      <c r="L101" s="68" t="s">
        <v>332</v>
      </c>
      <c r="M101" s="372">
        <v>8</v>
      </c>
      <c r="N101" s="373">
        <v>3</v>
      </c>
      <c r="O101" s="419">
        <v>113</v>
      </c>
      <c r="P101" s="420">
        <v>14</v>
      </c>
      <c r="Q101" s="381">
        <v>24528</v>
      </c>
      <c r="R101" s="382">
        <v>1908</v>
      </c>
      <c r="S101" s="285">
        <v>40921</v>
      </c>
    </row>
    <row r="102" spans="1:19" ht="15.75">
      <c r="A102" s="240"/>
      <c r="B102" s="240"/>
      <c r="C102" s="240"/>
      <c r="D102" s="240"/>
      <c r="E102" s="244"/>
      <c r="F102" s="244"/>
      <c r="G102" s="248" t="s">
        <v>224</v>
      </c>
      <c r="H102" s="65" t="s">
        <v>193</v>
      </c>
      <c r="I102" s="69" t="s">
        <v>128</v>
      </c>
      <c r="J102" s="67" t="s">
        <v>191</v>
      </c>
      <c r="K102" s="291">
        <v>40907</v>
      </c>
      <c r="L102" s="68" t="s">
        <v>68</v>
      </c>
      <c r="M102" s="350">
        <v>19</v>
      </c>
      <c r="N102" s="492">
        <v>2</v>
      </c>
      <c r="O102" s="493">
        <v>115157</v>
      </c>
      <c r="P102" s="494">
        <v>8628</v>
      </c>
      <c r="Q102" s="495">
        <f>108631+115157</f>
        <v>223788</v>
      </c>
      <c r="R102" s="496">
        <f>8552+8628</f>
        <v>17180</v>
      </c>
      <c r="S102" s="285">
        <v>40914</v>
      </c>
    </row>
    <row r="103" spans="1:19" ht="15.75">
      <c r="A103" s="253"/>
      <c r="B103" s="253"/>
      <c r="C103" s="253"/>
      <c r="D103" s="253"/>
      <c r="E103" s="252"/>
      <c r="F103" s="252"/>
      <c r="G103" s="248" t="s">
        <v>224</v>
      </c>
      <c r="H103" s="65" t="s">
        <v>193</v>
      </c>
      <c r="I103" s="69" t="s">
        <v>128</v>
      </c>
      <c r="J103" s="67" t="s">
        <v>191</v>
      </c>
      <c r="K103" s="291">
        <v>41273</v>
      </c>
      <c r="L103" s="68" t="s">
        <v>68</v>
      </c>
      <c r="M103" s="372">
        <v>19</v>
      </c>
      <c r="N103" s="373">
        <v>1</v>
      </c>
      <c r="O103" s="423">
        <v>108199</v>
      </c>
      <c r="P103" s="424">
        <v>8513</v>
      </c>
      <c r="Q103" s="393">
        <f>108199</f>
        <v>108199</v>
      </c>
      <c r="R103" s="398">
        <f>8513</f>
        <v>8513</v>
      </c>
      <c r="S103" s="499">
        <v>40907</v>
      </c>
    </row>
    <row r="104" spans="1:19" ht="15.75">
      <c r="A104" s="240"/>
      <c r="B104" s="240"/>
      <c r="C104" s="240"/>
      <c r="D104" s="240"/>
      <c r="E104" s="244"/>
      <c r="F104" s="244"/>
      <c r="G104" s="248" t="s">
        <v>224</v>
      </c>
      <c r="H104" s="65" t="s">
        <v>193</v>
      </c>
      <c r="I104" s="69" t="s">
        <v>128</v>
      </c>
      <c r="J104" s="67" t="s">
        <v>191</v>
      </c>
      <c r="K104" s="291">
        <v>40907</v>
      </c>
      <c r="L104" s="68" t="s">
        <v>68</v>
      </c>
      <c r="M104" s="372">
        <v>19</v>
      </c>
      <c r="N104" s="373">
        <v>3</v>
      </c>
      <c r="O104" s="423">
        <v>28332.5</v>
      </c>
      <c r="P104" s="424">
        <v>2468</v>
      </c>
      <c r="Q104" s="393">
        <f>108631+115157+28332.5</f>
        <v>252120.5</v>
      </c>
      <c r="R104" s="398">
        <f>8552+8628+2468</f>
        <v>19648</v>
      </c>
      <c r="S104" s="285">
        <v>40921</v>
      </c>
    </row>
    <row r="105" spans="1:19" ht="15.75">
      <c r="A105" s="253"/>
      <c r="B105" s="253"/>
      <c r="C105" s="253"/>
      <c r="D105" s="253"/>
      <c r="E105" s="252"/>
      <c r="F105" s="242" t="s">
        <v>54</v>
      </c>
      <c r="G105" s="511" t="s">
        <v>151</v>
      </c>
      <c r="H105" s="65" t="s">
        <v>218</v>
      </c>
      <c r="I105" s="69" t="s">
        <v>89</v>
      </c>
      <c r="J105" s="67" t="s">
        <v>151</v>
      </c>
      <c r="K105" s="290">
        <v>40900</v>
      </c>
      <c r="L105" s="68" t="s">
        <v>68</v>
      </c>
      <c r="M105" s="372">
        <v>197</v>
      </c>
      <c r="N105" s="373">
        <v>2</v>
      </c>
      <c r="O105" s="423">
        <v>656291</v>
      </c>
      <c r="P105" s="424">
        <v>73110</v>
      </c>
      <c r="Q105" s="393">
        <f>985836.5+656291</f>
        <v>1642127.5</v>
      </c>
      <c r="R105" s="398">
        <f>106718+73110</f>
        <v>179828</v>
      </c>
      <c r="S105" s="499">
        <v>40907</v>
      </c>
    </row>
    <row r="106" spans="1:19" ht="15.75">
      <c r="A106" s="240"/>
      <c r="B106" s="240"/>
      <c r="C106" s="240"/>
      <c r="D106" s="253"/>
      <c r="E106" s="244"/>
      <c r="F106" s="242" t="s">
        <v>54</v>
      </c>
      <c r="G106" s="511" t="s">
        <v>151</v>
      </c>
      <c r="H106" s="65" t="s">
        <v>218</v>
      </c>
      <c r="I106" s="69" t="s">
        <v>89</v>
      </c>
      <c r="J106" s="67" t="s">
        <v>151</v>
      </c>
      <c r="K106" s="290">
        <v>40900</v>
      </c>
      <c r="L106" s="68" t="s">
        <v>68</v>
      </c>
      <c r="M106" s="350">
        <v>197</v>
      </c>
      <c r="N106" s="492">
        <v>3</v>
      </c>
      <c r="O106" s="493">
        <v>454728.5</v>
      </c>
      <c r="P106" s="494">
        <v>50608</v>
      </c>
      <c r="Q106" s="495">
        <f>985836.5+657011.5+454728.5</f>
        <v>2097576.5</v>
      </c>
      <c r="R106" s="496">
        <f>106718+73176+50608</f>
        <v>230502</v>
      </c>
      <c r="S106" s="285">
        <v>40914</v>
      </c>
    </row>
    <row r="107" spans="1:19" ht="15.75">
      <c r="A107" s="240"/>
      <c r="B107" s="240"/>
      <c r="C107" s="240"/>
      <c r="D107" s="253"/>
      <c r="E107" s="244"/>
      <c r="F107" s="242" t="s">
        <v>54</v>
      </c>
      <c r="G107" s="511" t="s">
        <v>151</v>
      </c>
      <c r="H107" s="65" t="s">
        <v>218</v>
      </c>
      <c r="I107" s="69" t="s">
        <v>89</v>
      </c>
      <c r="J107" s="67" t="s">
        <v>151</v>
      </c>
      <c r="K107" s="290">
        <v>40900</v>
      </c>
      <c r="L107" s="68" t="s">
        <v>68</v>
      </c>
      <c r="M107" s="372">
        <v>197</v>
      </c>
      <c r="N107" s="373">
        <v>4</v>
      </c>
      <c r="O107" s="423">
        <v>206447</v>
      </c>
      <c r="P107" s="424">
        <v>29112</v>
      </c>
      <c r="Q107" s="393">
        <f>985836.5+657011.5+454728.5+206447</f>
        <v>2304023.5</v>
      </c>
      <c r="R107" s="398">
        <f>106718+73176+50608+29112</f>
        <v>259614</v>
      </c>
      <c r="S107" s="285">
        <v>40921</v>
      </c>
    </row>
    <row r="108" spans="1:19" ht="15.75">
      <c r="A108" s="253"/>
      <c r="B108" s="253"/>
      <c r="C108" s="253"/>
      <c r="D108" s="253"/>
      <c r="E108" s="252"/>
      <c r="F108" s="252"/>
      <c r="G108" s="248" t="s">
        <v>268</v>
      </c>
      <c r="H108" s="65" t="s">
        <v>275</v>
      </c>
      <c r="I108" s="69" t="s">
        <v>273</v>
      </c>
      <c r="J108" s="67" t="s">
        <v>285</v>
      </c>
      <c r="K108" s="290">
        <v>40641</v>
      </c>
      <c r="L108" s="68" t="s">
        <v>68</v>
      </c>
      <c r="M108" s="372">
        <v>22</v>
      </c>
      <c r="N108" s="373">
        <v>21</v>
      </c>
      <c r="O108" s="423">
        <v>3801.5</v>
      </c>
      <c r="P108" s="424">
        <v>950</v>
      </c>
      <c r="Q108" s="393">
        <f>116634.25+59106.5+23134.5+13753.5+15970+8455.5+1576+1761+10125.5+2018+2376+1505+1606+4951.5+5289.5+5175+120+1367+4606+1218+3801.5</f>
        <v>284550.25</v>
      </c>
      <c r="R108" s="398">
        <f>8833+4531+2274+1803+2249+1097+201+284+1149+305+594+210+182+582+643+704+20+163+464+300+950</f>
        <v>27538</v>
      </c>
      <c r="S108" s="499">
        <v>40907</v>
      </c>
    </row>
    <row r="109" spans="1:19" ht="15.75">
      <c r="A109" s="253"/>
      <c r="B109" s="253"/>
      <c r="C109" s="253"/>
      <c r="D109" s="253"/>
      <c r="E109" s="252"/>
      <c r="F109" s="260"/>
      <c r="G109" s="258" t="s">
        <v>131</v>
      </c>
      <c r="H109" s="65" t="s">
        <v>132</v>
      </c>
      <c r="I109" s="71" t="s">
        <v>99</v>
      </c>
      <c r="J109" s="69" t="s">
        <v>136</v>
      </c>
      <c r="K109" s="290">
        <v>40746</v>
      </c>
      <c r="L109" s="68" t="s">
        <v>52</v>
      </c>
      <c r="M109" s="410">
        <v>23</v>
      </c>
      <c r="N109" s="394">
        <v>18</v>
      </c>
      <c r="O109" s="527">
        <v>36</v>
      </c>
      <c r="P109" s="528">
        <v>6</v>
      </c>
      <c r="Q109" s="378">
        <f>47685+27229.5+17697.5+18612+19593.5+16691+6089.5+2551.5+2254+4358+2609+1310+356+168+150+121+69+36</f>
        <v>167580.5</v>
      </c>
      <c r="R109" s="382">
        <f>4321+2419+2108+2430+2448+2072+892+397+346+639+377+205+49+24+23+19+11+6</f>
        <v>18786</v>
      </c>
      <c r="S109" s="499">
        <v>40907</v>
      </c>
    </row>
    <row r="110" spans="1:19" ht="15.75">
      <c r="A110" s="240"/>
      <c r="B110" s="240"/>
      <c r="C110" s="253"/>
      <c r="D110" s="240"/>
      <c r="E110" s="252"/>
      <c r="F110" s="252"/>
      <c r="G110" s="261" t="s">
        <v>156</v>
      </c>
      <c r="H110" s="68" t="s">
        <v>129</v>
      </c>
      <c r="I110" s="68" t="s">
        <v>79</v>
      </c>
      <c r="J110" s="68" t="s">
        <v>130</v>
      </c>
      <c r="K110" s="290">
        <v>40893</v>
      </c>
      <c r="L110" s="68" t="s">
        <v>13</v>
      </c>
      <c r="M110" s="372">
        <v>2</v>
      </c>
      <c r="N110" s="373">
        <v>3</v>
      </c>
      <c r="O110" s="419">
        <v>1807</v>
      </c>
      <c r="P110" s="420">
        <v>178</v>
      </c>
      <c r="Q110" s="381">
        <v>9740</v>
      </c>
      <c r="R110" s="382">
        <v>753</v>
      </c>
      <c r="S110" s="499">
        <v>40907</v>
      </c>
    </row>
    <row r="111" spans="1:19" ht="15.75">
      <c r="A111" s="240"/>
      <c r="B111" s="240"/>
      <c r="C111" s="240"/>
      <c r="D111" s="240"/>
      <c r="E111" s="244"/>
      <c r="F111" s="252"/>
      <c r="G111" s="261" t="s">
        <v>156</v>
      </c>
      <c r="H111" s="68" t="s">
        <v>129</v>
      </c>
      <c r="I111" s="68" t="s">
        <v>79</v>
      </c>
      <c r="J111" s="68" t="s">
        <v>130</v>
      </c>
      <c r="K111" s="290">
        <v>40893</v>
      </c>
      <c r="L111" s="68" t="s">
        <v>13</v>
      </c>
      <c r="M111" s="350">
        <v>2</v>
      </c>
      <c r="N111" s="533">
        <v>4</v>
      </c>
      <c r="O111" s="500">
        <v>757</v>
      </c>
      <c r="P111" s="501">
        <v>72</v>
      </c>
      <c r="Q111" s="502">
        <v>10497</v>
      </c>
      <c r="R111" s="503">
        <v>825</v>
      </c>
      <c r="S111" s="285">
        <v>40914</v>
      </c>
    </row>
    <row r="112" spans="1:19" ht="15.75">
      <c r="A112" s="240"/>
      <c r="B112" s="240"/>
      <c r="C112" s="253"/>
      <c r="D112" s="240"/>
      <c r="E112" s="252"/>
      <c r="F112" s="252"/>
      <c r="G112" s="264" t="s">
        <v>249</v>
      </c>
      <c r="H112" s="68" t="s">
        <v>250</v>
      </c>
      <c r="I112" s="68" t="s">
        <v>79</v>
      </c>
      <c r="J112" s="68" t="s">
        <v>243</v>
      </c>
      <c r="K112" s="291">
        <v>40718</v>
      </c>
      <c r="L112" s="68" t="s">
        <v>13</v>
      </c>
      <c r="M112" s="512">
        <v>5</v>
      </c>
      <c r="N112" s="373">
        <v>14</v>
      </c>
      <c r="O112" s="419">
        <v>1188</v>
      </c>
      <c r="P112" s="420">
        <v>237</v>
      </c>
      <c r="Q112" s="381">
        <v>30216.25</v>
      </c>
      <c r="R112" s="382">
        <v>3201</v>
      </c>
      <c r="S112" s="499">
        <v>40907</v>
      </c>
    </row>
    <row r="113" spans="1:19" ht="15.75">
      <c r="A113" s="253"/>
      <c r="B113" s="253"/>
      <c r="C113" s="253"/>
      <c r="D113" s="253"/>
      <c r="E113" s="252"/>
      <c r="F113" s="242" t="s">
        <v>54</v>
      </c>
      <c r="G113" s="518" t="s">
        <v>106</v>
      </c>
      <c r="H113" s="65" t="s">
        <v>114</v>
      </c>
      <c r="I113" s="65"/>
      <c r="J113" s="65" t="s">
        <v>106</v>
      </c>
      <c r="K113" s="290">
        <v>40879</v>
      </c>
      <c r="L113" s="68" t="s">
        <v>8</v>
      </c>
      <c r="M113" s="372">
        <v>39</v>
      </c>
      <c r="N113" s="388">
        <v>5</v>
      </c>
      <c r="O113" s="423">
        <v>6888</v>
      </c>
      <c r="P113" s="424">
        <v>1032</v>
      </c>
      <c r="Q113" s="393">
        <v>207860</v>
      </c>
      <c r="R113" s="398">
        <v>22859</v>
      </c>
      <c r="S113" s="499">
        <v>40907</v>
      </c>
    </row>
    <row r="114" spans="1:19" ht="15.75">
      <c r="A114" s="240"/>
      <c r="B114" s="240"/>
      <c r="C114" s="240"/>
      <c r="D114" s="240"/>
      <c r="E114" s="244"/>
      <c r="F114" s="242" t="s">
        <v>54</v>
      </c>
      <c r="G114" s="518" t="s">
        <v>106</v>
      </c>
      <c r="H114" s="65" t="s">
        <v>114</v>
      </c>
      <c r="I114" s="65"/>
      <c r="J114" s="65" t="s">
        <v>106</v>
      </c>
      <c r="K114" s="290">
        <v>40879</v>
      </c>
      <c r="L114" s="68" t="s">
        <v>8</v>
      </c>
      <c r="M114" s="350">
        <v>39</v>
      </c>
      <c r="N114" s="266">
        <v>6</v>
      </c>
      <c r="O114" s="493">
        <v>5509</v>
      </c>
      <c r="P114" s="494">
        <v>890</v>
      </c>
      <c r="Q114" s="495">
        <v>213369</v>
      </c>
      <c r="R114" s="496">
        <v>23749</v>
      </c>
      <c r="S114" s="285">
        <v>40914</v>
      </c>
    </row>
    <row r="115" spans="1:19" ht="15.75">
      <c r="A115" s="240"/>
      <c r="B115" s="240"/>
      <c r="C115" s="240"/>
      <c r="D115" s="240"/>
      <c r="E115" s="244"/>
      <c r="F115" s="242" t="s">
        <v>54</v>
      </c>
      <c r="G115" s="518" t="s">
        <v>106</v>
      </c>
      <c r="H115" s="65" t="s">
        <v>114</v>
      </c>
      <c r="I115" s="65"/>
      <c r="J115" s="65" t="s">
        <v>106</v>
      </c>
      <c r="K115" s="290">
        <v>40879</v>
      </c>
      <c r="L115" s="68" t="s">
        <v>8</v>
      </c>
      <c r="M115" s="372">
        <v>39</v>
      </c>
      <c r="N115" s="388">
        <v>7</v>
      </c>
      <c r="O115" s="421">
        <v>4931</v>
      </c>
      <c r="P115" s="422">
        <v>847</v>
      </c>
      <c r="Q115" s="393">
        <v>216338</v>
      </c>
      <c r="R115" s="398">
        <v>24246</v>
      </c>
      <c r="S115" s="285">
        <v>40921</v>
      </c>
    </row>
    <row r="116" spans="1:19" ht="15.75">
      <c r="A116" s="256"/>
      <c r="B116" s="256"/>
      <c r="C116" s="240"/>
      <c r="D116" s="256"/>
      <c r="E116" s="244"/>
      <c r="F116" s="252"/>
      <c r="G116" s="261" t="s">
        <v>391</v>
      </c>
      <c r="H116" s="65" t="s">
        <v>393</v>
      </c>
      <c r="I116" s="68" t="s">
        <v>260</v>
      </c>
      <c r="J116" s="68" t="s">
        <v>392</v>
      </c>
      <c r="K116" s="290">
        <v>40921</v>
      </c>
      <c r="L116" s="68" t="s">
        <v>332</v>
      </c>
      <c r="M116" s="372">
        <v>16</v>
      </c>
      <c r="N116" s="373">
        <v>1</v>
      </c>
      <c r="O116" s="419">
        <v>63901</v>
      </c>
      <c r="P116" s="420">
        <v>5127</v>
      </c>
      <c r="Q116" s="381">
        <v>38005.5</v>
      </c>
      <c r="R116" s="382">
        <v>2857</v>
      </c>
      <c r="S116" s="285">
        <v>40921</v>
      </c>
    </row>
    <row r="117" spans="1:19" ht="15.75">
      <c r="A117" s="253"/>
      <c r="B117" s="253"/>
      <c r="C117" s="246">
        <v>2</v>
      </c>
      <c r="D117" s="247" t="s">
        <v>292</v>
      </c>
      <c r="E117" s="252"/>
      <c r="F117" s="252"/>
      <c r="G117" s="248" t="s">
        <v>222</v>
      </c>
      <c r="H117" s="65" t="s">
        <v>213</v>
      </c>
      <c r="I117" s="66" t="s">
        <v>94</v>
      </c>
      <c r="J117" s="67" t="s">
        <v>222</v>
      </c>
      <c r="K117" s="291">
        <v>40900</v>
      </c>
      <c r="L117" s="68" t="s">
        <v>12</v>
      </c>
      <c r="M117" s="372">
        <v>184</v>
      </c>
      <c r="N117" s="373">
        <v>2</v>
      </c>
      <c r="O117" s="521">
        <v>1211019</v>
      </c>
      <c r="P117" s="522">
        <v>123420</v>
      </c>
      <c r="Q117" s="383">
        <v>3864182</v>
      </c>
      <c r="R117" s="384">
        <v>381786</v>
      </c>
      <c r="S117" s="499">
        <v>40907</v>
      </c>
    </row>
    <row r="118" spans="1:19" ht="15.75">
      <c r="A118" s="240"/>
      <c r="B118" s="240"/>
      <c r="C118" s="246">
        <v>2</v>
      </c>
      <c r="D118" s="247" t="s">
        <v>292</v>
      </c>
      <c r="E118" s="244"/>
      <c r="F118" s="244"/>
      <c r="G118" s="248" t="s">
        <v>222</v>
      </c>
      <c r="H118" s="65" t="s">
        <v>213</v>
      </c>
      <c r="I118" s="66" t="s">
        <v>94</v>
      </c>
      <c r="J118" s="67" t="s">
        <v>222</v>
      </c>
      <c r="K118" s="291">
        <v>40900</v>
      </c>
      <c r="L118" s="68" t="s">
        <v>12</v>
      </c>
      <c r="M118" s="350">
        <v>184</v>
      </c>
      <c r="N118" s="274">
        <v>3</v>
      </c>
      <c r="O118" s="500">
        <v>924297</v>
      </c>
      <c r="P118" s="501">
        <v>89902</v>
      </c>
      <c r="Q118" s="502">
        <v>4788479</v>
      </c>
      <c r="R118" s="503">
        <v>471688</v>
      </c>
      <c r="S118" s="285">
        <v>40914</v>
      </c>
    </row>
    <row r="119" spans="1:19" ht="15.75">
      <c r="A119" s="240"/>
      <c r="B119" s="240"/>
      <c r="C119" s="246">
        <v>2</v>
      </c>
      <c r="D119" s="247" t="s">
        <v>292</v>
      </c>
      <c r="E119" s="244"/>
      <c r="F119" s="244"/>
      <c r="G119" s="248" t="s">
        <v>222</v>
      </c>
      <c r="H119" s="65" t="s">
        <v>213</v>
      </c>
      <c r="I119" s="66" t="s">
        <v>94</v>
      </c>
      <c r="J119" s="67" t="s">
        <v>222</v>
      </c>
      <c r="K119" s="291">
        <v>40900</v>
      </c>
      <c r="L119" s="68" t="s">
        <v>12</v>
      </c>
      <c r="M119" s="372">
        <v>184</v>
      </c>
      <c r="N119" s="373">
        <v>4</v>
      </c>
      <c r="O119" s="419">
        <v>703674</v>
      </c>
      <c r="P119" s="420">
        <v>71922</v>
      </c>
      <c r="Q119" s="383">
        <v>5494639</v>
      </c>
      <c r="R119" s="384">
        <v>543827</v>
      </c>
      <c r="S119" s="285">
        <v>40921</v>
      </c>
    </row>
    <row r="120" spans="1:19" ht="15.75">
      <c r="A120" s="253"/>
      <c r="B120" s="253"/>
      <c r="C120" s="253"/>
      <c r="D120" s="253"/>
      <c r="E120" s="529"/>
      <c r="F120" s="459"/>
      <c r="G120" s="261" t="s">
        <v>117</v>
      </c>
      <c r="H120" s="65" t="s">
        <v>118</v>
      </c>
      <c r="I120" s="68" t="s">
        <v>95</v>
      </c>
      <c r="J120" s="68" t="s">
        <v>119</v>
      </c>
      <c r="K120" s="444">
        <v>40886</v>
      </c>
      <c r="L120" s="68" t="s">
        <v>10</v>
      </c>
      <c r="M120" s="372">
        <v>25</v>
      </c>
      <c r="N120" s="394">
        <v>4</v>
      </c>
      <c r="O120" s="423">
        <v>7798</v>
      </c>
      <c r="P120" s="424">
        <v>1075</v>
      </c>
      <c r="Q120" s="393">
        <v>410245</v>
      </c>
      <c r="R120" s="398">
        <v>32354</v>
      </c>
      <c r="S120" s="499">
        <v>40907</v>
      </c>
    </row>
    <row r="121" spans="1:19" ht="15.75">
      <c r="A121" s="240"/>
      <c r="B121" s="240"/>
      <c r="C121" s="240"/>
      <c r="D121" s="240"/>
      <c r="E121" s="241"/>
      <c r="F121" s="249"/>
      <c r="G121" s="261" t="s">
        <v>117</v>
      </c>
      <c r="H121" s="65" t="s">
        <v>118</v>
      </c>
      <c r="I121" s="68" t="s">
        <v>95</v>
      </c>
      <c r="J121" s="68" t="s">
        <v>119</v>
      </c>
      <c r="K121" s="444">
        <v>40886</v>
      </c>
      <c r="L121" s="68" t="s">
        <v>10</v>
      </c>
      <c r="M121" s="350">
        <v>25</v>
      </c>
      <c r="N121" s="276">
        <v>5</v>
      </c>
      <c r="O121" s="493">
        <v>3058</v>
      </c>
      <c r="P121" s="494">
        <v>780</v>
      </c>
      <c r="Q121" s="495">
        <f>410245+3058</f>
        <v>413303</v>
      </c>
      <c r="R121" s="496">
        <f>32354+780</f>
        <v>33134</v>
      </c>
      <c r="S121" s="285">
        <v>40914</v>
      </c>
    </row>
    <row r="122" spans="1:19" ht="15.75">
      <c r="A122" s="240"/>
      <c r="B122" s="240"/>
      <c r="C122" s="240"/>
      <c r="D122" s="240"/>
      <c r="E122" s="241"/>
      <c r="F122" s="249"/>
      <c r="G122" s="261" t="s">
        <v>117</v>
      </c>
      <c r="H122" s="65" t="s">
        <v>118</v>
      </c>
      <c r="I122" s="68" t="s">
        <v>95</v>
      </c>
      <c r="J122" s="68" t="s">
        <v>119</v>
      </c>
      <c r="K122" s="444">
        <v>40886</v>
      </c>
      <c r="L122" s="68" t="s">
        <v>10</v>
      </c>
      <c r="M122" s="372">
        <v>25</v>
      </c>
      <c r="N122" s="394">
        <v>6</v>
      </c>
      <c r="O122" s="423">
        <v>2380</v>
      </c>
      <c r="P122" s="424">
        <v>285</v>
      </c>
      <c r="Q122" s="393">
        <v>415683</v>
      </c>
      <c r="R122" s="398">
        <v>33419</v>
      </c>
      <c r="S122" s="285">
        <v>40921</v>
      </c>
    </row>
    <row r="123" spans="1:19" ht="15.75">
      <c r="A123" s="519"/>
      <c r="B123" s="519"/>
      <c r="C123" s="253"/>
      <c r="D123" s="247" t="s">
        <v>292</v>
      </c>
      <c r="E123" s="252"/>
      <c r="F123" s="242" t="s">
        <v>54</v>
      </c>
      <c r="G123" s="518" t="s">
        <v>110</v>
      </c>
      <c r="H123" s="65" t="s">
        <v>113</v>
      </c>
      <c r="I123" s="65"/>
      <c r="J123" s="65" t="s">
        <v>110</v>
      </c>
      <c r="K123" s="290">
        <v>40879</v>
      </c>
      <c r="L123" s="68" t="s">
        <v>53</v>
      </c>
      <c r="M123" s="372">
        <v>135</v>
      </c>
      <c r="N123" s="403">
        <v>5</v>
      </c>
      <c r="O123" s="505">
        <v>197271.5</v>
      </c>
      <c r="P123" s="506">
        <v>25625</v>
      </c>
      <c r="Q123" s="404">
        <f>1709882.25+1194489.75+708906.5+376327+70+197271.5</f>
        <v>4186947</v>
      </c>
      <c r="R123" s="405">
        <f>195314+135261+80447+45395+10+25625</f>
        <v>482052</v>
      </c>
      <c r="S123" s="499">
        <v>40907</v>
      </c>
    </row>
    <row r="124" spans="1:19" ht="15.75">
      <c r="A124" s="256"/>
      <c r="B124" s="256"/>
      <c r="C124" s="240"/>
      <c r="D124" s="247" t="s">
        <v>292</v>
      </c>
      <c r="E124" s="252"/>
      <c r="F124" s="242" t="s">
        <v>54</v>
      </c>
      <c r="G124" s="518" t="s">
        <v>110</v>
      </c>
      <c r="H124" s="65" t="s">
        <v>113</v>
      </c>
      <c r="I124" s="65"/>
      <c r="J124" s="65" t="s">
        <v>110</v>
      </c>
      <c r="K124" s="290">
        <v>40879</v>
      </c>
      <c r="L124" s="68" t="s">
        <v>53</v>
      </c>
      <c r="M124" s="350">
        <v>135</v>
      </c>
      <c r="N124" s="507">
        <v>6</v>
      </c>
      <c r="O124" s="508">
        <v>73341.5</v>
      </c>
      <c r="P124" s="501">
        <v>10302</v>
      </c>
      <c r="Q124" s="509">
        <f>1709882.25+1194489.75+708906.5+376327+70+197271.5+73341.5</f>
        <v>4260288.5</v>
      </c>
      <c r="R124" s="503">
        <f>195314+135261+80447+45395+10+25625+10302</f>
        <v>492354</v>
      </c>
      <c r="S124" s="285">
        <v>40914</v>
      </c>
    </row>
    <row r="125" spans="1:19" ht="15.75">
      <c r="A125" s="256"/>
      <c r="B125" s="256"/>
      <c r="C125" s="240"/>
      <c r="D125" s="247" t="s">
        <v>292</v>
      </c>
      <c r="E125" s="252"/>
      <c r="F125" s="242" t="s">
        <v>54</v>
      </c>
      <c r="G125" s="518" t="s">
        <v>110</v>
      </c>
      <c r="H125" s="65" t="s">
        <v>113</v>
      </c>
      <c r="I125" s="65"/>
      <c r="J125" s="65" t="s">
        <v>110</v>
      </c>
      <c r="K125" s="290">
        <v>40879</v>
      </c>
      <c r="L125" s="68" t="s">
        <v>53</v>
      </c>
      <c r="M125" s="372">
        <v>135</v>
      </c>
      <c r="N125" s="403">
        <v>7</v>
      </c>
      <c r="O125" s="419">
        <v>70692.5</v>
      </c>
      <c r="P125" s="420">
        <v>10950</v>
      </c>
      <c r="Q125" s="404">
        <f>1709882.25+1194489.75+708906.5+376327+70+197271.5+73341.5+70692.5</f>
        <v>4330981</v>
      </c>
      <c r="R125" s="405">
        <f>195314+135261+80447+45395+10+25625+10302+10950</f>
        <v>503304</v>
      </c>
      <c r="S125" s="285">
        <v>40921</v>
      </c>
    </row>
    <row r="126" spans="1:19" ht="15.75">
      <c r="A126" s="253"/>
      <c r="B126" s="253"/>
      <c r="C126" s="253"/>
      <c r="D126" s="253"/>
      <c r="E126" s="252"/>
      <c r="F126" s="242" t="s">
        <v>54</v>
      </c>
      <c r="G126" s="504" t="s">
        <v>148</v>
      </c>
      <c r="H126" s="68" t="s">
        <v>112</v>
      </c>
      <c r="I126" s="68"/>
      <c r="J126" s="68" t="s">
        <v>148</v>
      </c>
      <c r="K126" s="290">
        <v>40900</v>
      </c>
      <c r="L126" s="68" t="s">
        <v>52</v>
      </c>
      <c r="M126" s="406">
        <v>14</v>
      </c>
      <c r="N126" s="394">
        <v>2</v>
      </c>
      <c r="O126" s="527">
        <v>19458.5</v>
      </c>
      <c r="P126" s="528">
        <v>1850</v>
      </c>
      <c r="Q126" s="378">
        <f>43848.5+19458.5</f>
        <v>63307</v>
      </c>
      <c r="R126" s="382">
        <f>3764+1850</f>
        <v>5614</v>
      </c>
      <c r="S126" s="499">
        <v>40907</v>
      </c>
    </row>
    <row r="127" spans="1:19" ht="15.75">
      <c r="A127" s="240"/>
      <c r="B127" s="240"/>
      <c r="C127" s="240"/>
      <c r="D127" s="240"/>
      <c r="E127" s="244"/>
      <c r="F127" s="242" t="s">
        <v>54</v>
      </c>
      <c r="G127" s="504" t="s">
        <v>148</v>
      </c>
      <c r="H127" s="68" t="s">
        <v>112</v>
      </c>
      <c r="I127" s="68"/>
      <c r="J127" s="68" t="s">
        <v>148</v>
      </c>
      <c r="K127" s="290">
        <v>40900</v>
      </c>
      <c r="L127" s="68" t="s">
        <v>52</v>
      </c>
      <c r="M127" s="353">
        <v>14</v>
      </c>
      <c r="N127" s="276">
        <v>3</v>
      </c>
      <c r="O127" s="523">
        <v>4777</v>
      </c>
      <c r="P127" s="524">
        <v>439</v>
      </c>
      <c r="Q127" s="525">
        <f>43848.5+19458.5+4777</f>
        <v>68084</v>
      </c>
      <c r="R127" s="526">
        <f>3764+1850+439</f>
        <v>6053</v>
      </c>
      <c r="S127" s="285">
        <v>40914</v>
      </c>
    </row>
    <row r="128" spans="1:19" ht="15.75">
      <c r="A128" s="240"/>
      <c r="B128" s="240"/>
      <c r="C128" s="240"/>
      <c r="D128" s="240"/>
      <c r="E128" s="244"/>
      <c r="F128" s="242" t="s">
        <v>54</v>
      </c>
      <c r="G128" s="504" t="s">
        <v>148</v>
      </c>
      <c r="H128" s="68" t="s">
        <v>112</v>
      </c>
      <c r="I128" s="68"/>
      <c r="J128" s="68" t="s">
        <v>148</v>
      </c>
      <c r="K128" s="290">
        <v>40900</v>
      </c>
      <c r="L128" s="68" t="s">
        <v>52</v>
      </c>
      <c r="M128" s="406">
        <v>14</v>
      </c>
      <c r="N128" s="394">
        <v>4</v>
      </c>
      <c r="O128" s="425">
        <v>1091</v>
      </c>
      <c r="P128" s="426">
        <v>142</v>
      </c>
      <c r="Q128" s="399">
        <f>43848.5+19458.5+4777+1091</f>
        <v>69175</v>
      </c>
      <c r="R128" s="382">
        <f>3764+1850+439+142</f>
        <v>6195</v>
      </c>
      <c r="S128" s="285">
        <v>40921</v>
      </c>
    </row>
    <row r="129" spans="1:19" ht="15.75">
      <c r="A129" s="253"/>
      <c r="B129" s="253"/>
      <c r="C129" s="253"/>
      <c r="D129" s="253"/>
      <c r="E129" s="239"/>
      <c r="F129" s="239"/>
      <c r="G129" s="254" t="s">
        <v>214</v>
      </c>
      <c r="H129" s="70" t="s">
        <v>216</v>
      </c>
      <c r="I129" s="68" t="s">
        <v>95</v>
      </c>
      <c r="J129" s="70" t="s">
        <v>215</v>
      </c>
      <c r="K129" s="290">
        <v>40907</v>
      </c>
      <c r="L129" s="68" t="s">
        <v>10</v>
      </c>
      <c r="M129" s="406">
        <v>64</v>
      </c>
      <c r="N129" s="394">
        <v>1</v>
      </c>
      <c r="O129" s="423">
        <v>361708</v>
      </c>
      <c r="P129" s="424">
        <v>32009</v>
      </c>
      <c r="Q129" s="393">
        <v>361708</v>
      </c>
      <c r="R129" s="398">
        <v>32009</v>
      </c>
      <c r="S129" s="499">
        <v>40907</v>
      </c>
    </row>
    <row r="130" spans="1:19" ht="15.75">
      <c r="A130" s="240"/>
      <c r="B130" s="240"/>
      <c r="C130" s="240"/>
      <c r="D130" s="240"/>
      <c r="E130" s="244"/>
      <c r="F130" s="244"/>
      <c r="G130" s="254" t="s">
        <v>214</v>
      </c>
      <c r="H130" s="70" t="s">
        <v>216</v>
      </c>
      <c r="I130" s="68" t="s">
        <v>95</v>
      </c>
      <c r="J130" s="70" t="s">
        <v>215</v>
      </c>
      <c r="K130" s="290">
        <v>40907</v>
      </c>
      <c r="L130" s="68" t="s">
        <v>10</v>
      </c>
      <c r="M130" s="353">
        <v>64</v>
      </c>
      <c r="N130" s="276">
        <v>2</v>
      </c>
      <c r="O130" s="493">
        <f>235686+726</f>
        <v>236412</v>
      </c>
      <c r="P130" s="494">
        <f>20261+65</f>
        <v>20326</v>
      </c>
      <c r="Q130" s="495">
        <f>361708+235686+726</f>
        <v>598120</v>
      </c>
      <c r="R130" s="496">
        <f>32009+20261+65</f>
        <v>52335</v>
      </c>
      <c r="S130" s="285">
        <v>40914</v>
      </c>
    </row>
    <row r="131" spans="1:19" ht="15.75">
      <c r="A131" s="240"/>
      <c r="B131" s="240"/>
      <c r="C131" s="240"/>
      <c r="D131" s="240"/>
      <c r="E131" s="244"/>
      <c r="F131" s="244"/>
      <c r="G131" s="254" t="s">
        <v>214</v>
      </c>
      <c r="H131" s="70" t="s">
        <v>216</v>
      </c>
      <c r="I131" s="68" t="s">
        <v>95</v>
      </c>
      <c r="J131" s="70" t="s">
        <v>215</v>
      </c>
      <c r="K131" s="290">
        <v>40907</v>
      </c>
      <c r="L131" s="68" t="s">
        <v>10</v>
      </c>
      <c r="M131" s="406">
        <v>64</v>
      </c>
      <c r="N131" s="394">
        <v>3</v>
      </c>
      <c r="O131" s="423">
        <v>63689</v>
      </c>
      <c r="P131" s="424">
        <v>5622</v>
      </c>
      <c r="Q131" s="393">
        <v>661809</v>
      </c>
      <c r="R131" s="398">
        <v>57957</v>
      </c>
      <c r="S131" s="285">
        <v>40921</v>
      </c>
    </row>
    <row r="132" spans="1:19" ht="15.75">
      <c r="A132" s="255"/>
      <c r="B132" s="255"/>
      <c r="C132" s="240"/>
      <c r="D132" s="255"/>
      <c r="E132" s="244"/>
      <c r="F132" s="244"/>
      <c r="G132" s="243" t="s">
        <v>291</v>
      </c>
      <c r="H132" s="70" t="s">
        <v>296</v>
      </c>
      <c r="I132" s="68" t="s">
        <v>260</v>
      </c>
      <c r="J132" s="70" t="s">
        <v>295</v>
      </c>
      <c r="K132" s="290">
        <v>40830</v>
      </c>
      <c r="L132" s="68" t="s">
        <v>10</v>
      </c>
      <c r="M132" s="353">
        <v>62</v>
      </c>
      <c r="N132" s="276">
        <v>11</v>
      </c>
      <c r="O132" s="493">
        <v>1610</v>
      </c>
      <c r="P132" s="494">
        <v>249</v>
      </c>
      <c r="Q132" s="495">
        <f>1594092+1610</f>
        <v>1595702</v>
      </c>
      <c r="R132" s="496">
        <f>149626+249</f>
        <v>149875</v>
      </c>
      <c r="S132" s="285">
        <v>40914</v>
      </c>
    </row>
    <row r="133" spans="1:19" ht="15.75">
      <c r="A133" s="265"/>
      <c r="B133" s="265"/>
      <c r="C133" s="253"/>
      <c r="D133" s="265"/>
      <c r="E133" s="239"/>
      <c r="F133" s="239"/>
      <c r="G133" s="243" t="s">
        <v>291</v>
      </c>
      <c r="H133" s="70" t="s">
        <v>296</v>
      </c>
      <c r="I133" s="68" t="s">
        <v>260</v>
      </c>
      <c r="J133" s="70" t="s">
        <v>295</v>
      </c>
      <c r="K133" s="290">
        <v>40830</v>
      </c>
      <c r="L133" s="68" t="s">
        <v>10</v>
      </c>
      <c r="M133" s="406">
        <v>62</v>
      </c>
      <c r="N133" s="394">
        <v>11</v>
      </c>
      <c r="O133" s="423">
        <v>1190</v>
      </c>
      <c r="P133" s="424">
        <v>170</v>
      </c>
      <c r="Q133" s="393">
        <v>1594092</v>
      </c>
      <c r="R133" s="398">
        <v>149626</v>
      </c>
      <c r="S133" s="499">
        <v>40907</v>
      </c>
    </row>
    <row r="134" spans="1:19" ht="15.75">
      <c r="A134" s="255"/>
      <c r="B134" s="255"/>
      <c r="C134" s="240"/>
      <c r="D134" s="255"/>
      <c r="E134" s="244"/>
      <c r="F134" s="244"/>
      <c r="G134" s="243" t="s">
        <v>291</v>
      </c>
      <c r="H134" s="70" t="s">
        <v>296</v>
      </c>
      <c r="I134" s="68" t="s">
        <v>260</v>
      </c>
      <c r="J134" s="70" t="s">
        <v>295</v>
      </c>
      <c r="K134" s="290">
        <v>40830</v>
      </c>
      <c r="L134" s="68" t="s">
        <v>10</v>
      </c>
      <c r="M134" s="406">
        <v>62</v>
      </c>
      <c r="N134" s="394">
        <v>13</v>
      </c>
      <c r="O134" s="423">
        <v>612</v>
      </c>
      <c r="P134" s="424">
        <v>102</v>
      </c>
      <c r="Q134" s="393">
        <v>1596314</v>
      </c>
      <c r="R134" s="398">
        <v>149977</v>
      </c>
      <c r="S134" s="285">
        <v>40921</v>
      </c>
    </row>
    <row r="135" spans="1:19" ht="15.75">
      <c r="A135" s="250" t="s">
        <v>223</v>
      </c>
      <c r="B135" s="240"/>
      <c r="C135" s="247" t="s">
        <v>292</v>
      </c>
      <c r="D135" s="240"/>
      <c r="E135" s="251" t="s">
        <v>55</v>
      </c>
      <c r="F135" s="252"/>
      <c r="G135" s="248" t="s">
        <v>366</v>
      </c>
      <c r="H135" s="67" t="s">
        <v>370</v>
      </c>
      <c r="I135" s="69"/>
      <c r="J135" s="67" t="s">
        <v>369</v>
      </c>
      <c r="K135" s="290">
        <v>39829</v>
      </c>
      <c r="L135" s="68" t="s">
        <v>68</v>
      </c>
      <c r="M135" s="350">
        <v>65</v>
      </c>
      <c r="N135" s="492">
        <v>44</v>
      </c>
      <c r="O135" s="493">
        <v>1424</v>
      </c>
      <c r="P135" s="494">
        <v>356</v>
      </c>
      <c r="Q135" s="495">
        <f>237023+244842+160469+47021+21536+18820+18020.5+26440+10695+9162.5+9870+6322+1787+2032+757+348+420.5+158+4053+339.5+3161.5+1729.5+752+1417+1780+64+1208+952+552+139.5+544+40+8072+1780+1424+1780+440+1780+1188+2612+952+712+4276+1424</f>
        <v>858895.5</v>
      </c>
      <c r="R135" s="496">
        <f>25678+28966+21290+6590+4890+3520+3479+4786+1907+1716+2388+1533+368+541+126+70+67+48+991+81+743+414+155+169+445+16+302+238+117+23+48+12+2018+445+356+445+55+445+297+653+238+178+1069+356</f>
        <v>118272</v>
      </c>
      <c r="S135" s="285">
        <v>40914</v>
      </c>
    </row>
    <row r="136" spans="1:19" ht="15.75">
      <c r="A136" s="253"/>
      <c r="B136" s="253"/>
      <c r="C136" s="253"/>
      <c r="D136" s="247" t="s">
        <v>292</v>
      </c>
      <c r="E136" s="239"/>
      <c r="F136" s="239"/>
      <c r="G136" s="245" t="s">
        <v>65</v>
      </c>
      <c r="H136" s="72" t="s">
        <v>91</v>
      </c>
      <c r="I136" s="66" t="s">
        <v>94</v>
      </c>
      <c r="J136" s="72" t="s">
        <v>65</v>
      </c>
      <c r="K136" s="291">
        <v>40837</v>
      </c>
      <c r="L136" s="68" t="s">
        <v>12</v>
      </c>
      <c r="M136" s="372">
        <v>112</v>
      </c>
      <c r="N136" s="373">
        <v>11</v>
      </c>
      <c r="O136" s="521">
        <v>4349</v>
      </c>
      <c r="P136" s="522">
        <v>651</v>
      </c>
      <c r="Q136" s="383">
        <v>2336338</v>
      </c>
      <c r="R136" s="384">
        <v>245652</v>
      </c>
      <c r="S136" s="499">
        <v>40907</v>
      </c>
    </row>
    <row r="137" spans="1:19" ht="15.75">
      <c r="A137" s="240"/>
      <c r="B137" s="240"/>
      <c r="C137" s="240"/>
      <c r="D137" s="247" t="s">
        <v>292</v>
      </c>
      <c r="E137" s="244"/>
      <c r="F137" s="244"/>
      <c r="G137" s="245" t="s">
        <v>65</v>
      </c>
      <c r="H137" s="72" t="s">
        <v>91</v>
      </c>
      <c r="I137" s="66" t="s">
        <v>94</v>
      </c>
      <c r="J137" s="72" t="s">
        <v>65</v>
      </c>
      <c r="K137" s="291">
        <v>40837</v>
      </c>
      <c r="L137" s="68" t="s">
        <v>12</v>
      </c>
      <c r="M137" s="350">
        <v>112</v>
      </c>
      <c r="N137" s="274">
        <v>12</v>
      </c>
      <c r="O137" s="500">
        <v>1003</v>
      </c>
      <c r="P137" s="501">
        <v>165</v>
      </c>
      <c r="Q137" s="502">
        <v>2337341</v>
      </c>
      <c r="R137" s="503">
        <v>245817</v>
      </c>
      <c r="S137" s="285">
        <v>40914</v>
      </c>
    </row>
    <row r="138" spans="1:19" ht="15.75">
      <c r="A138" s="253"/>
      <c r="B138" s="253"/>
      <c r="C138" s="253"/>
      <c r="D138" s="253"/>
      <c r="E138" s="252"/>
      <c r="F138" s="252"/>
      <c r="G138" s="248" t="s">
        <v>154</v>
      </c>
      <c r="H138" s="65" t="s">
        <v>194</v>
      </c>
      <c r="I138" s="69" t="s">
        <v>79</v>
      </c>
      <c r="J138" s="67" t="s">
        <v>155</v>
      </c>
      <c r="K138" s="291">
        <v>40781</v>
      </c>
      <c r="L138" s="68" t="s">
        <v>68</v>
      </c>
      <c r="M138" s="372">
        <v>25</v>
      </c>
      <c r="N138" s="373">
        <v>16</v>
      </c>
      <c r="O138" s="423">
        <v>3841</v>
      </c>
      <c r="P138" s="424">
        <v>653</v>
      </c>
      <c r="Q138" s="393">
        <f>144733+112570+56967.5+34113.5+30823.5+33890.5+41306+25896.5+24762.5+2776+2376+588+744+1788+950.5+3841</f>
        <v>518126.5</v>
      </c>
      <c r="R138" s="398">
        <f>11669+10065+5619+3946+3929+4284+5351+3682+3657+420+594+249+124+397+237+653</f>
        <v>54876</v>
      </c>
      <c r="S138" s="499">
        <v>40907</v>
      </c>
    </row>
    <row r="139" spans="1:19" ht="15.75">
      <c r="A139" s="240"/>
      <c r="B139" s="240"/>
      <c r="C139" s="240"/>
      <c r="D139" s="240"/>
      <c r="E139" s="244"/>
      <c r="F139" s="244"/>
      <c r="G139" s="248" t="s">
        <v>154</v>
      </c>
      <c r="H139" s="65" t="s">
        <v>194</v>
      </c>
      <c r="I139" s="69" t="s">
        <v>79</v>
      </c>
      <c r="J139" s="67" t="s">
        <v>155</v>
      </c>
      <c r="K139" s="291">
        <v>40781</v>
      </c>
      <c r="L139" s="68" t="s">
        <v>68</v>
      </c>
      <c r="M139" s="350">
        <v>25</v>
      </c>
      <c r="N139" s="492">
        <v>17</v>
      </c>
      <c r="O139" s="493">
        <v>1705</v>
      </c>
      <c r="P139" s="494">
        <v>271</v>
      </c>
      <c r="Q139" s="495">
        <f>144733+112570+56967.5+34113.5+30823.5+33890.5+41306+25896.5+24762.5+2776+2376+588+744+1788+950.5+3841+1705</f>
        <v>519831.5</v>
      </c>
      <c r="R139" s="496">
        <f>11669+10065+5619+3946+3929+4284+5351+3682+3657+420+594+249+124+397+237+653+271</f>
        <v>55147</v>
      </c>
      <c r="S139" s="285">
        <v>40914</v>
      </c>
    </row>
    <row r="140" spans="1:19" ht="15.75">
      <c r="A140" s="240"/>
      <c r="B140" s="240"/>
      <c r="C140" s="240"/>
      <c r="D140" s="240"/>
      <c r="E140" s="244"/>
      <c r="F140" s="244"/>
      <c r="G140" s="248" t="s">
        <v>154</v>
      </c>
      <c r="H140" s="65" t="s">
        <v>194</v>
      </c>
      <c r="I140" s="69" t="s">
        <v>79</v>
      </c>
      <c r="J140" s="67" t="s">
        <v>155</v>
      </c>
      <c r="K140" s="291">
        <v>40781</v>
      </c>
      <c r="L140" s="68" t="s">
        <v>68</v>
      </c>
      <c r="M140" s="372">
        <v>25</v>
      </c>
      <c r="N140" s="373">
        <v>17</v>
      </c>
      <c r="O140" s="423">
        <v>854</v>
      </c>
      <c r="P140" s="424">
        <v>126</v>
      </c>
      <c r="Q140" s="393">
        <f>144733+112570+56967.5+34113.5+30823.5+33890.5+41306+25896.5+24762.5+2776+2376+588+744+1788+950.5+3841+1705+854</f>
        <v>520685.5</v>
      </c>
      <c r="R140" s="398">
        <f>11669+10065+5619+3946+3929+4284+5351+3682+3657+420+594+249+124+397+237+653+271+126</f>
        <v>55273</v>
      </c>
      <c r="S140" s="285">
        <v>40921</v>
      </c>
    </row>
    <row r="141" spans="1:19" ht="15.75">
      <c r="A141" s="240"/>
      <c r="B141" s="240"/>
      <c r="C141" s="240"/>
      <c r="D141" s="240"/>
      <c r="E141" s="251" t="s">
        <v>55</v>
      </c>
      <c r="F141" s="252"/>
      <c r="G141" s="248" t="s">
        <v>363</v>
      </c>
      <c r="H141" s="67" t="s">
        <v>376</v>
      </c>
      <c r="I141" s="67" t="s">
        <v>85</v>
      </c>
      <c r="J141" s="67" t="s">
        <v>373</v>
      </c>
      <c r="K141" s="290">
        <v>40347</v>
      </c>
      <c r="L141" s="68" t="s">
        <v>68</v>
      </c>
      <c r="M141" s="372">
        <v>66</v>
      </c>
      <c r="N141" s="373">
        <v>34</v>
      </c>
      <c r="O141" s="423">
        <v>2138.5</v>
      </c>
      <c r="P141" s="424">
        <v>535</v>
      </c>
      <c r="Q141" s="393">
        <f>478213+7083+3309.5+6055+4900+8378+4378.5+2349+3103+2074+7679.5+6108+2991.5+2180+2234+642+2775.5+1757+1151+3382+60+1782+2851+1188+713+286+2138.5+2138.5</f>
        <v>561900.5</v>
      </c>
      <c r="R141" s="398">
        <f>55327+1259+553+1133+756+1285+650+408+682+334+1688+1394+539+483+475+201+677+260+202+852+20+445+712+297+178+67+535+535</f>
        <v>71947</v>
      </c>
      <c r="S141" s="285">
        <v>40921</v>
      </c>
    </row>
    <row r="142" spans="1:19" ht="15.75">
      <c r="A142" s="240"/>
      <c r="B142" s="240"/>
      <c r="C142" s="240"/>
      <c r="D142" s="240"/>
      <c r="E142" s="251" t="s">
        <v>55</v>
      </c>
      <c r="F142" s="252"/>
      <c r="G142" s="248" t="s">
        <v>363</v>
      </c>
      <c r="H142" s="67" t="s">
        <v>376</v>
      </c>
      <c r="I142" s="67" t="s">
        <v>85</v>
      </c>
      <c r="J142" s="67" t="s">
        <v>373</v>
      </c>
      <c r="K142" s="290">
        <v>40347</v>
      </c>
      <c r="L142" s="68" t="s">
        <v>68</v>
      </c>
      <c r="M142" s="350">
        <v>66</v>
      </c>
      <c r="N142" s="492">
        <v>34</v>
      </c>
      <c r="O142" s="493">
        <v>2138.5</v>
      </c>
      <c r="P142" s="494">
        <v>535</v>
      </c>
      <c r="Q142" s="495">
        <f>478213+7083+3309.5+6055+4900+8378+4378.5+2349+3103+2074+7679.5+6108+2991.5+2180+2234+642+2775.5+1757+1151+3382+60+1782+2851+1188+713+286+2138.5</f>
        <v>559762</v>
      </c>
      <c r="R142" s="496">
        <f>55327+1259+553+1133+756+1285+650+408+682+334+1688+1394+539+483+475+201+677+260+202+852+20+445+712+297+178+67+535</f>
        <v>71412</v>
      </c>
      <c r="S142" s="285">
        <v>40914</v>
      </c>
    </row>
    <row r="143" spans="1:19" ht="15.75">
      <c r="A143" s="250" t="s">
        <v>223</v>
      </c>
      <c r="B143" s="259">
        <v>3</v>
      </c>
      <c r="C143" s="246">
        <v>2</v>
      </c>
      <c r="D143" s="240"/>
      <c r="E143" s="251" t="s">
        <v>55</v>
      </c>
      <c r="F143" s="244"/>
      <c r="G143" s="248" t="s">
        <v>400</v>
      </c>
      <c r="H143" s="65" t="s">
        <v>217</v>
      </c>
      <c r="I143" s="69" t="s">
        <v>94</v>
      </c>
      <c r="J143" s="67" t="s">
        <v>401</v>
      </c>
      <c r="K143" s="290">
        <v>40921</v>
      </c>
      <c r="L143" s="68" t="s">
        <v>12</v>
      </c>
      <c r="M143" s="372">
        <v>101</v>
      </c>
      <c r="N143" s="373">
        <v>1</v>
      </c>
      <c r="O143" s="419">
        <v>2186377</v>
      </c>
      <c r="P143" s="420">
        <v>209171</v>
      </c>
      <c r="Q143" s="407">
        <v>2186377</v>
      </c>
      <c r="R143" s="384">
        <v>209171</v>
      </c>
      <c r="S143" s="285">
        <v>40921</v>
      </c>
    </row>
    <row r="144" spans="1:19" ht="15.75">
      <c r="A144" s="253"/>
      <c r="B144" s="253"/>
      <c r="C144" s="253"/>
      <c r="D144" s="253"/>
      <c r="E144" s="251" t="s">
        <v>55</v>
      </c>
      <c r="F144" s="239"/>
      <c r="G144" s="245" t="s">
        <v>198</v>
      </c>
      <c r="H144" s="65" t="s">
        <v>208</v>
      </c>
      <c r="I144" s="72" t="s">
        <v>94</v>
      </c>
      <c r="J144" s="72" t="s">
        <v>198</v>
      </c>
      <c r="K144" s="290">
        <v>40606</v>
      </c>
      <c r="L144" s="68" t="s">
        <v>12</v>
      </c>
      <c r="M144" s="372">
        <v>104</v>
      </c>
      <c r="N144" s="373">
        <v>44</v>
      </c>
      <c r="O144" s="497">
        <v>297</v>
      </c>
      <c r="P144" s="498">
        <v>59</v>
      </c>
      <c r="Q144" s="407">
        <v>1287202</v>
      </c>
      <c r="R144" s="384">
        <v>133558</v>
      </c>
      <c r="S144" s="499">
        <v>40907</v>
      </c>
    </row>
    <row r="145" spans="1:19" ht="15.75">
      <c r="A145" s="240"/>
      <c r="B145" s="240"/>
      <c r="C145" s="240"/>
      <c r="D145" s="253"/>
      <c r="E145" s="251" t="s">
        <v>55</v>
      </c>
      <c r="F145" s="239"/>
      <c r="G145" s="245" t="s">
        <v>197</v>
      </c>
      <c r="H145" s="65" t="s">
        <v>209</v>
      </c>
      <c r="I145" s="72" t="s">
        <v>94</v>
      </c>
      <c r="J145" s="72" t="s">
        <v>201</v>
      </c>
      <c r="K145" s="290">
        <v>40823</v>
      </c>
      <c r="L145" s="68" t="s">
        <v>12</v>
      </c>
      <c r="M145" s="350">
        <v>105</v>
      </c>
      <c r="N145" s="274">
        <v>14</v>
      </c>
      <c r="O145" s="500">
        <v>2631</v>
      </c>
      <c r="P145" s="501">
        <v>391</v>
      </c>
      <c r="Q145" s="502">
        <v>1141116</v>
      </c>
      <c r="R145" s="503">
        <v>122643</v>
      </c>
      <c r="S145" s="285">
        <v>40914</v>
      </c>
    </row>
    <row r="146" spans="1:19" ht="15.75">
      <c r="A146" s="253"/>
      <c r="B146" s="253"/>
      <c r="C146" s="253"/>
      <c r="D146" s="253"/>
      <c r="E146" s="251" t="s">
        <v>55</v>
      </c>
      <c r="F146" s="239"/>
      <c r="G146" s="245" t="s">
        <v>197</v>
      </c>
      <c r="H146" s="65" t="s">
        <v>209</v>
      </c>
      <c r="I146" s="72" t="s">
        <v>94</v>
      </c>
      <c r="J146" s="72" t="s">
        <v>201</v>
      </c>
      <c r="K146" s="290">
        <v>40823</v>
      </c>
      <c r="L146" s="68" t="s">
        <v>12</v>
      </c>
      <c r="M146" s="372">
        <v>105</v>
      </c>
      <c r="N146" s="373">
        <v>13</v>
      </c>
      <c r="O146" s="521">
        <v>781</v>
      </c>
      <c r="P146" s="522">
        <v>132</v>
      </c>
      <c r="Q146" s="383">
        <v>1138485</v>
      </c>
      <c r="R146" s="384">
        <v>122252</v>
      </c>
      <c r="S146" s="499">
        <v>40907</v>
      </c>
    </row>
    <row r="147" spans="1:19" ht="15.75">
      <c r="A147" s="240"/>
      <c r="B147" s="240"/>
      <c r="C147" s="240"/>
      <c r="D147" s="253"/>
      <c r="E147" s="251" t="s">
        <v>55</v>
      </c>
      <c r="F147" s="239"/>
      <c r="G147" s="245" t="s">
        <v>197</v>
      </c>
      <c r="H147" s="65" t="s">
        <v>209</v>
      </c>
      <c r="I147" s="72" t="s">
        <v>94</v>
      </c>
      <c r="J147" s="72" t="s">
        <v>201</v>
      </c>
      <c r="K147" s="290">
        <v>40823</v>
      </c>
      <c r="L147" s="68" t="s">
        <v>12</v>
      </c>
      <c r="M147" s="372">
        <v>105</v>
      </c>
      <c r="N147" s="373">
        <v>15</v>
      </c>
      <c r="O147" s="419">
        <v>639</v>
      </c>
      <c r="P147" s="420">
        <v>93</v>
      </c>
      <c r="Q147" s="383">
        <v>1141755</v>
      </c>
      <c r="R147" s="384">
        <v>122736</v>
      </c>
      <c r="S147" s="285">
        <v>40921</v>
      </c>
    </row>
    <row r="148" spans="1:19" ht="15.75">
      <c r="A148" s="240"/>
      <c r="B148" s="240"/>
      <c r="C148" s="240"/>
      <c r="D148" s="240"/>
      <c r="E148" s="244"/>
      <c r="F148" s="242" t="s">
        <v>54</v>
      </c>
      <c r="G148" s="518" t="s">
        <v>304</v>
      </c>
      <c r="H148" s="65" t="s">
        <v>112</v>
      </c>
      <c r="I148" s="65"/>
      <c r="J148" s="69" t="s">
        <v>111</v>
      </c>
      <c r="K148" s="290">
        <v>40886</v>
      </c>
      <c r="L148" s="68" t="s">
        <v>52</v>
      </c>
      <c r="M148" s="410">
        <v>8</v>
      </c>
      <c r="N148" s="394">
        <v>5</v>
      </c>
      <c r="O148" s="425">
        <v>1920</v>
      </c>
      <c r="P148" s="426">
        <v>379</v>
      </c>
      <c r="Q148" s="399">
        <f>11392+5145+695+1862+1920</f>
        <v>21014</v>
      </c>
      <c r="R148" s="382">
        <f>1392+701+109+241+379</f>
        <v>2822</v>
      </c>
      <c r="S148" s="285">
        <v>40921</v>
      </c>
    </row>
    <row r="149" spans="1:19" ht="15.75">
      <c r="A149" s="253"/>
      <c r="B149" s="253"/>
      <c r="C149" s="253"/>
      <c r="D149" s="253"/>
      <c r="E149" s="252"/>
      <c r="F149" s="242" t="s">
        <v>54</v>
      </c>
      <c r="G149" s="518" t="s">
        <v>304</v>
      </c>
      <c r="H149" s="65" t="s">
        <v>112</v>
      </c>
      <c r="I149" s="65"/>
      <c r="J149" s="69" t="s">
        <v>111</v>
      </c>
      <c r="K149" s="290">
        <v>40886</v>
      </c>
      <c r="L149" s="68" t="s">
        <v>52</v>
      </c>
      <c r="M149" s="410">
        <v>8</v>
      </c>
      <c r="N149" s="394">
        <v>4</v>
      </c>
      <c r="O149" s="527">
        <v>1862</v>
      </c>
      <c r="P149" s="528">
        <v>241</v>
      </c>
      <c r="Q149" s="378">
        <f>11392+5145+695+1862</f>
        <v>19094</v>
      </c>
      <c r="R149" s="382">
        <f>1392+701+109+241</f>
        <v>2443</v>
      </c>
      <c r="S149" s="499">
        <v>40907</v>
      </c>
    </row>
    <row r="150" spans="1:19" ht="15.75">
      <c r="A150" s="253"/>
      <c r="B150" s="253"/>
      <c r="C150" s="253"/>
      <c r="D150" s="253"/>
      <c r="E150" s="252"/>
      <c r="F150" s="252"/>
      <c r="G150" s="248" t="s">
        <v>190</v>
      </c>
      <c r="H150" s="65" t="s">
        <v>195</v>
      </c>
      <c r="I150" s="69" t="s">
        <v>79</v>
      </c>
      <c r="J150" s="67" t="s">
        <v>192</v>
      </c>
      <c r="K150" s="290">
        <v>40816</v>
      </c>
      <c r="L150" s="68" t="s">
        <v>68</v>
      </c>
      <c r="M150" s="372">
        <v>25</v>
      </c>
      <c r="N150" s="373">
        <v>3</v>
      </c>
      <c r="O150" s="423">
        <v>3320</v>
      </c>
      <c r="P150" s="424">
        <v>565</v>
      </c>
      <c r="Q150" s="393">
        <f>80510.5+53296+49611.5+29276.5+2781+46429+5648+1635+6908.5+15320.5+732+943+3320</f>
        <v>296411.5</v>
      </c>
      <c r="R150" s="398">
        <f>8978+6079+6067+4144+482+6937+761+224+842+1960+107+134+565</f>
        <v>37280</v>
      </c>
      <c r="S150" s="499">
        <v>40907</v>
      </c>
    </row>
    <row r="151" spans="1:19" ht="15.75">
      <c r="A151" s="240"/>
      <c r="B151" s="240"/>
      <c r="C151" s="240"/>
      <c r="D151" s="240"/>
      <c r="E151" s="251" t="s">
        <v>55</v>
      </c>
      <c r="F151" s="252"/>
      <c r="G151" s="248" t="s">
        <v>362</v>
      </c>
      <c r="H151" s="67" t="s">
        <v>126</v>
      </c>
      <c r="I151" s="69" t="s">
        <v>414</v>
      </c>
      <c r="J151" s="67" t="s">
        <v>362</v>
      </c>
      <c r="K151" s="290">
        <v>40641</v>
      </c>
      <c r="L151" s="68" t="s">
        <v>68</v>
      </c>
      <c r="M151" s="372">
        <v>137</v>
      </c>
      <c r="N151" s="373">
        <v>38</v>
      </c>
      <c r="O151" s="423">
        <v>3705</v>
      </c>
      <c r="P151" s="424">
        <v>1571</v>
      </c>
      <c r="Q151" s="393">
        <f>1093950.25+883807.25+882248.49+232093.5+101981.5+57830.5+19947.5+33359.5+10973.5+10465+4630+3501.5+10659+9758.5+3633+5790+6145.5+1329.5+1868.5+1128+2980.5+1299.5+16988+15449+14138+200+1908+7960+4871+1544.5+1533+891+3175+713+425+224+993+2318+3705</f>
        <v>3456415.99</v>
      </c>
      <c r="R151" s="398">
        <f>103570+88345+90215+25333+13427+8958+3731+5336+2366+2057+997+691+1831+2140+654+1021+736+207+401+189+424+234+4142+3841+3526+40+471+1991+1218+386+96+56+735+178+84+42+228+1120+1571</f>
        <v>372588</v>
      </c>
      <c r="S151" s="285">
        <v>40921</v>
      </c>
    </row>
    <row r="152" spans="1:19" ht="15.75">
      <c r="A152" s="240"/>
      <c r="B152" s="240"/>
      <c r="C152" s="240"/>
      <c r="D152" s="240"/>
      <c r="E152" s="251" t="s">
        <v>55</v>
      </c>
      <c r="F152" s="252"/>
      <c r="G152" s="248" t="s">
        <v>362</v>
      </c>
      <c r="H152" s="67" t="s">
        <v>126</v>
      </c>
      <c r="I152" s="69"/>
      <c r="J152" s="67" t="s">
        <v>362</v>
      </c>
      <c r="K152" s="290">
        <v>40641</v>
      </c>
      <c r="L152" s="68" t="s">
        <v>68</v>
      </c>
      <c r="M152" s="350">
        <v>137</v>
      </c>
      <c r="N152" s="492">
        <v>38</v>
      </c>
      <c r="O152" s="493">
        <v>2318</v>
      </c>
      <c r="P152" s="494">
        <v>1120</v>
      </c>
      <c r="Q152" s="495">
        <f>1093950.25+883807.25+882248.49+232093.5+101981.5+57830.5+19947.5+33359.5+10973.5+10465+4630+3501.5+10659+9758.5+3633+5790+6145.5+1329.5+1868.5+1128+2980.5+1299.5+16988+15449+14138+200+1908+7960+4871+1544.5+1533+891+3175+713+425+224+993+2318</f>
        <v>3452710.99</v>
      </c>
      <c r="R152" s="496">
        <f>103570+88345+90215+25333+13427+8958+3731+5336+2366+2057+997+691+1831+2140+654+1021+736+207+401+189+424+234+4142+3841+3526+40+471+1991+1218+386+96+56+735+178+84+42+228+1120</f>
        <v>371017</v>
      </c>
      <c r="S152" s="285">
        <v>40914</v>
      </c>
    </row>
    <row r="153" spans="1:19" ht="15.75">
      <c r="A153" s="240"/>
      <c r="B153" s="240"/>
      <c r="C153" s="240"/>
      <c r="D153" s="240"/>
      <c r="E153" s="244"/>
      <c r="F153" s="242" t="s">
        <v>54</v>
      </c>
      <c r="G153" s="511" t="s">
        <v>364</v>
      </c>
      <c r="H153" s="67" t="s">
        <v>377</v>
      </c>
      <c r="I153" s="69"/>
      <c r="J153" s="67" t="s">
        <v>364</v>
      </c>
      <c r="K153" s="290">
        <v>40795</v>
      </c>
      <c r="L153" s="68" t="s">
        <v>68</v>
      </c>
      <c r="M153" s="350">
        <v>3</v>
      </c>
      <c r="N153" s="492">
        <v>8</v>
      </c>
      <c r="O153" s="493">
        <v>1782</v>
      </c>
      <c r="P153" s="494">
        <v>446</v>
      </c>
      <c r="Q153" s="495">
        <f>4125+2511+398+1048+854+482+594+1782</f>
        <v>11794</v>
      </c>
      <c r="R153" s="496">
        <f>422+287+52+100+134+61+149+446</f>
        <v>1651</v>
      </c>
      <c r="S153" s="285">
        <v>40914</v>
      </c>
    </row>
    <row r="154" spans="1:19" ht="15.75">
      <c r="A154" s="240"/>
      <c r="B154" s="240"/>
      <c r="C154" s="240"/>
      <c r="D154" s="240"/>
      <c r="E154" s="244"/>
      <c r="F154" s="244"/>
      <c r="G154" s="245" t="s">
        <v>108</v>
      </c>
      <c r="H154" s="65" t="s">
        <v>125</v>
      </c>
      <c r="I154" s="72" t="s">
        <v>124</v>
      </c>
      <c r="J154" s="72" t="s">
        <v>109</v>
      </c>
      <c r="K154" s="290">
        <v>40879</v>
      </c>
      <c r="L154" s="68" t="s">
        <v>12</v>
      </c>
      <c r="M154" s="350">
        <v>38</v>
      </c>
      <c r="N154" s="274">
        <v>6</v>
      </c>
      <c r="O154" s="500">
        <v>10036</v>
      </c>
      <c r="P154" s="501">
        <v>1553</v>
      </c>
      <c r="Q154" s="502">
        <v>481544</v>
      </c>
      <c r="R154" s="503">
        <v>44903</v>
      </c>
      <c r="S154" s="285">
        <v>40914</v>
      </c>
    </row>
    <row r="155" spans="1:19" ht="15.75">
      <c r="A155" s="253"/>
      <c r="B155" s="253"/>
      <c r="C155" s="253"/>
      <c r="D155" s="253"/>
      <c r="E155" s="239"/>
      <c r="F155" s="239"/>
      <c r="G155" s="245" t="s">
        <v>108</v>
      </c>
      <c r="H155" s="65" t="s">
        <v>125</v>
      </c>
      <c r="I155" s="72" t="s">
        <v>124</v>
      </c>
      <c r="J155" s="72" t="s">
        <v>109</v>
      </c>
      <c r="K155" s="290">
        <v>40879</v>
      </c>
      <c r="L155" s="68" t="s">
        <v>12</v>
      </c>
      <c r="M155" s="372">
        <v>38</v>
      </c>
      <c r="N155" s="373">
        <v>5</v>
      </c>
      <c r="O155" s="497">
        <v>10036</v>
      </c>
      <c r="P155" s="498">
        <v>1553</v>
      </c>
      <c r="Q155" s="407">
        <v>481544</v>
      </c>
      <c r="R155" s="384">
        <v>44903</v>
      </c>
      <c r="S155" s="499">
        <v>40907</v>
      </c>
    </row>
    <row r="156" spans="1:19" ht="15.75">
      <c r="A156" s="240"/>
      <c r="B156" s="240"/>
      <c r="C156" s="240"/>
      <c r="D156" s="240"/>
      <c r="E156" s="244"/>
      <c r="F156" s="244"/>
      <c r="G156" s="245" t="s">
        <v>108</v>
      </c>
      <c r="H156" s="65" t="s">
        <v>125</v>
      </c>
      <c r="I156" s="72" t="s">
        <v>124</v>
      </c>
      <c r="J156" s="72" t="s">
        <v>109</v>
      </c>
      <c r="K156" s="290">
        <v>40879</v>
      </c>
      <c r="L156" s="68" t="s">
        <v>12</v>
      </c>
      <c r="M156" s="372">
        <v>38</v>
      </c>
      <c r="N156" s="373">
        <v>7</v>
      </c>
      <c r="O156" s="419">
        <v>3119</v>
      </c>
      <c r="P156" s="420">
        <v>502</v>
      </c>
      <c r="Q156" s="407">
        <v>491017</v>
      </c>
      <c r="R156" s="384">
        <v>46303</v>
      </c>
      <c r="S156" s="285">
        <v>40921</v>
      </c>
    </row>
    <row r="157" spans="1:19" ht="15.75">
      <c r="A157" s="253"/>
      <c r="B157" s="259">
        <v>3</v>
      </c>
      <c r="C157" s="253"/>
      <c r="D157" s="240"/>
      <c r="E157" s="252"/>
      <c r="F157" s="252"/>
      <c r="G157" s="254" t="s">
        <v>147</v>
      </c>
      <c r="H157" s="68" t="s">
        <v>166</v>
      </c>
      <c r="I157" s="68" t="s">
        <v>99</v>
      </c>
      <c r="J157" s="68" t="s">
        <v>153</v>
      </c>
      <c r="K157" s="290">
        <v>40900</v>
      </c>
      <c r="L157" s="68" t="s">
        <v>52</v>
      </c>
      <c r="M157" s="406">
        <v>69</v>
      </c>
      <c r="N157" s="394">
        <v>2</v>
      </c>
      <c r="O157" s="527">
        <v>100865</v>
      </c>
      <c r="P157" s="528">
        <v>10455</v>
      </c>
      <c r="Q157" s="378">
        <f>247246+100865</f>
        <v>348111</v>
      </c>
      <c r="R157" s="382">
        <f>24388+10455</f>
        <v>34843</v>
      </c>
      <c r="S157" s="499">
        <v>40907</v>
      </c>
    </row>
    <row r="158" spans="1:19" ht="15.75">
      <c r="A158" s="253"/>
      <c r="B158" s="259">
        <v>3</v>
      </c>
      <c r="C158" s="240"/>
      <c r="D158" s="240"/>
      <c r="E158" s="244"/>
      <c r="F158" s="244"/>
      <c r="G158" s="254" t="s">
        <v>147</v>
      </c>
      <c r="H158" s="68" t="s">
        <v>166</v>
      </c>
      <c r="I158" s="68" t="s">
        <v>99</v>
      </c>
      <c r="J158" s="68" t="s">
        <v>153</v>
      </c>
      <c r="K158" s="290">
        <v>40900</v>
      </c>
      <c r="L158" s="68" t="s">
        <v>52</v>
      </c>
      <c r="M158" s="353">
        <v>69</v>
      </c>
      <c r="N158" s="276">
        <v>3</v>
      </c>
      <c r="O158" s="523">
        <v>4174</v>
      </c>
      <c r="P158" s="524">
        <v>350</v>
      </c>
      <c r="Q158" s="525">
        <f>247246+100865+4174</f>
        <v>352285</v>
      </c>
      <c r="R158" s="526">
        <f>24388+10455+350</f>
        <v>35193</v>
      </c>
      <c r="S158" s="285">
        <v>40914</v>
      </c>
    </row>
    <row r="159" spans="1:19" ht="15.75">
      <c r="A159" s="253"/>
      <c r="B159" s="259">
        <v>3</v>
      </c>
      <c r="C159" s="240"/>
      <c r="D159" s="240"/>
      <c r="E159" s="244"/>
      <c r="F159" s="244"/>
      <c r="G159" s="254" t="s">
        <v>147</v>
      </c>
      <c r="H159" s="68" t="s">
        <v>166</v>
      </c>
      <c r="I159" s="68" t="s">
        <v>99</v>
      </c>
      <c r="J159" s="68" t="s">
        <v>153</v>
      </c>
      <c r="K159" s="290">
        <v>40900</v>
      </c>
      <c r="L159" s="68" t="s">
        <v>52</v>
      </c>
      <c r="M159" s="406">
        <v>69</v>
      </c>
      <c r="N159" s="394">
        <v>4</v>
      </c>
      <c r="O159" s="425">
        <v>1569</v>
      </c>
      <c r="P159" s="426">
        <v>207</v>
      </c>
      <c r="Q159" s="399">
        <f>247246+100865+4174+1569</f>
        <v>353854</v>
      </c>
      <c r="R159" s="382">
        <f>24388+10455+350+207</f>
        <v>35400</v>
      </c>
      <c r="S159" s="285">
        <v>40921</v>
      </c>
    </row>
    <row r="160" spans="1:19" ht="15.75">
      <c r="A160" s="253"/>
      <c r="B160" s="253"/>
      <c r="C160" s="253"/>
      <c r="D160" s="247" t="s">
        <v>292</v>
      </c>
      <c r="E160" s="529"/>
      <c r="F160" s="459"/>
      <c r="G160" s="261" t="s">
        <v>221</v>
      </c>
      <c r="H160" s="65" t="s">
        <v>96</v>
      </c>
      <c r="I160" s="68" t="s">
        <v>95</v>
      </c>
      <c r="J160" s="68" t="s">
        <v>146</v>
      </c>
      <c r="K160" s="291">
        <v>40893</v>
      </c>
      <c r="L160" s="68" t="s">
        <v>10</v>
      </c>
      <c r="M160" s="372">
        <v>133</v>
      </c>
      <c r="N160" s="394">
        <v>3</v>
      </c>
      <c r="O160" s="423">
        <v>916701</v>
      </c>
      <c r="P160" s="424">
        <v>91574</v>
      </c>
      <c r="Q160" s="393">
        <v>5181376</v>
      </c>
      <c r="R160" s="398">
        <v>509965</v>
      </c>
      <c r="S160" s="499">
        <v>40907</v>
      </c>
    </row>
    <row r="161" spans="1:19" ht="15.75">
      <c r="A161" s="240"/>
      <c r="B161" s="240"/>
      <c r="C161" s="240"/>
      <c r="D161" s="247" t="s">
        <v>292</v>
      </c>
      <c r="E161" s="241"/>
      <c r="F161" s="249"/>
      <c r="G161" s="245" t="s">
        <v>221</v>
      </c>
      <c r="H161" s="65" t="s">
        <v>96</v>
      </c>
      <c r="I161" s="68" t="s">
        <v>95</v>
      </c>
      <c r="J161" s="68" t="s">
        <v>146</v>
      </c>
      <c r="K161" s="291">
        <v>40893</v>
      </c>
      <c r="L161" s="68" t="s">
        <v>10</v>
      </c>
      <c r="M161" s="350">
        <v>133</v>
      </c>
      <c r="N161" s="276">
        <v>4</v>
      </c>
      <c r="O161" s="493">
        <f>765772+1082</f>
        <v>766854</v>
      </c>
      <c r="P161" s="494">
        <f>73798+89</f>
        <v>73887</v>
      </c>
      <c r="Q161" s="495">
        <f>5181376+765772+1082</f>
        <v>5948230</v>
      </c>
      <c r="R161" s="496">
        <f>509965+73798+89</f>
        <v>583852</v>
      </c>
      <c r="S161" s="285">
        <v>40914</v>
      </c>
    </row>
    <row r="162" spans="1:19" ht="15.75">
      <c r="A162" s="240"/>
      <c r="B162" s="240"/>
      <c r="C162" s="240"/>
      <c r="D162" s="247" t="s">
        <v>292</v>
      </c>
      <c r="E162" s="241"/>
      <c r="F162" s="249"/>
      <c r="G162" s="245" t="s">
        <v>221</v>
      </c>
      <c r="H162" s="65" t="s">
        <v>96</v>
      </c>
      <c r="I162" s="68" t="s">
        <v>95</v>
      </c>
      <c r="J162" s="68" t="s">
        <v>146</v>
      </c>
      <c r="K162" s="291">
        <v>40893</v>
      </c>
      <c r="L162" s="68" t="s">
        <v>10</v>
      </c>
      <c r="M162" s="372">
        <v>133</v>
      </c>
      <c r="N162" s="394">
        <v>5</v>
      </c>
      <c r="O162" s="423">
        <v>564431</v>
      </c>
      <c r="P162" s="424">
        <v>57561</v>
      </c>
      <c r="Q162" s="393">
        <v>6512661</v>
      </c>
      <c r="R162" s="398">
        <v>641413</v>
      </c>
      <c r="S162" s="285">
        <v>40921</v>
      </c>
    </row>
    <row r="163" spans="1:19" ht="15.75">
      <c r="A163" s="240"/>
      <c r="B163" s="240"/>
      <c r="C163" s="253"/>
      <c r="D163" s="240"/>
      <c r="E163" s="252"/>
      <c r="F163" s="252"/>
      <c r="G163" s="264" t="s">
        <v>244</v>
      </c>
      <c r="H163" s="68" t="s">
        <v>247</v>
      </c>
      <c r="I163" s="68" t="s">
        <v>248</v>
      </c>
      <c r="J163" s="68" t="s">
        <v>245</v>
      </c>
      <c r="K163" s="290">
        <v>40753</v>
      </c>
      <c r="L163" s="68" t="s">
        <v>13</v>
      </c>
      <c r="M163" s="512">
        <v>3</v>
      </c>
      <c r="N163" s="373">
        <v>7</v>
      </c>
      <c r="O163" s="419">
        <v>1188</v>
      </c>
      <c r="P163" s="420">
        <v>237</v>
      </c>
      <c r="Q163" s="381">
        <v>16007.5</v>
      </c>
      <c r="R163" s="382">
        <v>1536</v>
      </c>
      <c r="S163" s="499">
        <v>40907</v>
      </c>
    </row>
    <row r="164" spans="1:19" ht="15.75">
      <c r="A164" s="250" t="s">
        <v>223</v>
      </c>
      <c r="B164" s="244"/>
      <c r="C164" s="246">
        <v>2</v>
      </c>
      <c r="D164" s="240"/>
      <c r="E164" s="240"/>
      <c r="F164" s="244"/>
      <c r="G164" s="245" t="s">
        <v>349</v>
      </c>
      <c r="H164" s="65" t="s">
        <v>91</v>
      </c>
      <c r="I164" s="72" t="s">
        <v>94</v>
      </c>
      <c r="J164" s="72" t="s">
        <v>349</v>
      </c>
      <c r="K164" s="290">
        <v>40648</v>
      </c>
      <c r="L164" s="68" t="s">
        <v>12</v>
      </c>
      <c r="M164" s="350">
        <v>151</v>
      </c>
      <c r="N164" s="274">
        <v>30</v>
      </c>
      <c r="O164" s="500">
        <v>615</v>
      </c>
      <c r="P164" s="501">
        <v>123</v>
      </c>
      <c r="Q164" s="502">
        <v>1956708</v>
      </c>
      <c r="R164" s="503">
        <v>218938</v>
      </c>
      <c r="S164" s="285">
        <v>40914</v>
      </c>
    </row>
    <row r="165" spans="1:19" ht="15.75">
      <c r="A165" s="253"/>
      <c r="B165" s="253"/>
      <c r="C165" s="253"/>
      <c r="D165" s="253"/>
      <c r="E165" s="520"/>
      <c r="F165" s="242" t="s">
        <v>54</v>
      </c>
      <c r="G165" s="471" t="s">
        <v>141</v>
      </c>
      <c r="H165" s="65" t="s">
        <v>142</v>
      </c>
      <c r="I165" s="70"/>
      <c r="J165" s="70" t="s">
        <v>141</v>
      </c>
      <c r="K165" s="291">
        <v>40893</v>
      </c>
      <c r="L165" s="68" t="s">
        <v>8</v>
      </c>
      <c r="M165" s="387">
        <v>131</v>
      </c>
      <c r="N165" s="388">
        <v>3</v>
      </c>
      <c r="O165" s="423">
        <v>2464903</v>
      </c>
      <c r="P165" s="424">
        <v>273690</v>
      </c>
      <c r="Q165" s="393">
        <v>8604215</v>
      </c>
      <c r="R165" s="398">
        <v>960307</v>
      </c>
      <c r="S165" s="499">
        <v>40907</v>
      </c>
    </row>
    <row r="166" spans="1:19" ht="15.75">
      <c r="A166" s="240"/>
      <c r="B166" s="240"/>
      <c r="C166" s="240"/>
      <c r="D166" s="240"/>
      <c r="E166" s="241"/>
      <c r="F166" s="242" t="s">
        <v>54</v>
      </c>
      <c r="G166" s="471" t="s">
        <v>141</v>
      </c>
      <c r="H166" s="65" t="s">
        <v>142</v>
      </c>
      <c r="I166" s="70"/>
      <c r="J166" s="70" t="s">
        <v>141</v>
      </c>
      <c r="K166" s="291">
        <v>40893</v>
      </c>
      <c r="L166" s="68" t="s">
        <v>8</v>
      </c>
      <c r="M166" s="355">
        <v>131</v>
      </c>
      <c r="N166" s="266">
        <v>4</v>
      </c>
      <c r="O166" s="493">
        <v>1826075</v>
      </c>
      <c r="P166" s="494">
        <v>198737</v>
      </c>
      <c r="Q166" s="495">
        <v>10430290</v>
      </c>
      <c r="R166" s="496">
        <v>1159044</v>
      </c>
      <c r="S166" s="285">
        <v>40914</v>
      </c>
    </row>
    <row r="167" spans="1:19" ht="15.75">
      <c r="A167" s="240"/>
      <c r="B167" s="240"/>
      <c r="C167" s="240"/>
      <c r="D167" s="240"/>
      <c r="E167" s="241"/>
      <c r="F167" s="242" t="s">
        <v>54</v>
      </c>
      <c r="G167" s="471" t="s">
        <v>141</v>
      </c>
      <c r="H167" s="65" t="s">
        <v>142</v>
      </c>
      <c r="I167" s="70"/>
      <c r="J167" s="70" t="s">
        <v>141</v>
      </c>
      <c r="K167" s="291">
        <v>40893</v>
      </c>
      <c r="L167" s="68" t="s">
        <v>8</v>
      </c>
      <c r="M167" s="387">
        <v>131</v>
      </c>
      <c r="N167" s="388">
        <v>5</v>
      </c>
      <c r="O167" s="421">
        <v>1536557</v>
      </c>
      <c r="P167" s="422">
        <v>171960</v>
      </c>
      <c r="Q167" s="393">
        <v>11382284</v>
      </c>
      <c r="R167" s="398">
        <v>1257533</v>
      </c>
      <c r="S167" s="285">
        <v>40921</v>
      </c>
    </row>
    <row r="168" spans="1:19" ht="15.75">
      <c r="A168" s="240"/>
      <c r="B168" s="240"/>
      <c r="C168" s="253"/>
      <c r="D168" s="240"/>
      <c r="E168" s="252"/>
      <c r="F168" s="252"/>
      <c r="G168" s="264" t="s">
        <v>256</v>
      </c>
      <c r="H168" s="68" t="s">
        <v>257</v>
      </c>
      <c r="I168" s="68" t="s">
        <v>248</v>
      </c>
      <c r="J168" s="68" t="s">
        <v>240</v>
      </c>
      <c r="K168" s="290">
        <v>40739</v>
      </c>
      <c r="L168" s="68" t="s">
        <v>13</v>
      </c>
      <c r="M168" s="512">
        <v>3</v>
      </c>
      <c r="N168" s="373">
        <v>17</v>
      </c>
      <c r="O168" s="419">
        <v>2608</v>
      </c>
      <c r="P168" s="420">
        <v>520</v>
      </c>
      <c r="Q168" s="381">
        <v>43756.5</v>
      </c>
      <c r="R168" s="382">
        <v>5487</v>
      </c>
      <c r="S168" s="499">
        <v>40907</v>
      </c>
    </row>
    <row r="169" spans="1:19" ht="15.75">
      <c r="A169" s="240"/>
      <c r="B169" s="240"/>
      <c r="C169" s="240"/>
      <c r="D169" s="240"/>
      <c r="E169" s="244"/>
      <c r="F169" s="244"/>
      <c r="G169" s="243" t="s">
        <v>348</v>
      </c>
      <c r="H169" s="65" t="s">
        <v>126</v>
      </c>
      <c r="I169" s="70" t="s">
        <v>89</v>
      </c>
      <c r="J169" s="70" t="s">
        <v>360</v>
      </c>
      <c r="K169" s="291">
        <v>40914</v>
      </c>
      <c r="L169" s="68" t="s">
        <v>68</v>
      </c>
      <c r="M169" s="530">
        <v>66</v>
      </c>
      <c r="N169" s="492">
        <v>1</v>
      </c>
      <c r="O169" s="493">
        <v>683638.5</v>
      </c>
      <c r="P169" s="494">
        <v>65177</v>
      </c>
      <c r="Q169" s="495">
        <v>683638.5</v>
      </c>
      <c r="R169" s="496">
        <v>65177</v>
      </c>
      <c r="S169" s="285">
        <v>40914</v>
      </c>
    </row>
    <row r="170" spans="1:19" ht="15.75">
      <c r="A170" s="240"/>
      <c r="B170" s="259">
        <v>3</v>
      </c>
      <c r="C170" s="240"/>
      <c r="D170" s="240"/>
      <c r="E170" s="244"/>
      <c r="F170" s="244"/>
      <c r="G170" s="243" t="s">
        <v>348</v>
      </c>
      <c r="H170" s="65" t="s">
        <v>126</v>
      </c>
      <c r="I170" s="70" t="s">
        <v>89</v>
      </c>
      <c r="J170" s="70" t="s">
        <v>360</v>
      </c>
      <c r="K170" s="291">
        <v>40914</v>
      </c>
      <c r="L170" s="68" t="s">
        <v>68</v>
      </c>
      <c r="M170" s="372">
        <v>66</v>
      </c>
      <c r="N170" s="373">
        <v>2</v>
      </c>
      <c r="O170" s="423">
        <v>541400</v>
      </c>
      <c r="P170" s="424">
        <v>52837</v>
      </c>
      <c r="Q170" s="393">
        <f>683638.5+541400</f>
        <v>1225038.5</v>
      </c>
      <c r="R170" s="398">
        <f>65177+52837</f>
        <v>118014</v>
      </c>
      <c r="S170" s="285">
        <v>40921</v>
      </c>
    </row>
    <row r="171" spans="1:19" ht="15.75">
      <c r="A171" s="253"/>
      <c r="B171" s="253"/>
      <c r="C171" s="253"/>
      <c r="D171" s="253"/>
      <c r="E171" s="252"/>
      <c r="F171" s="260"/>
      <c r="G171" s="254" t="s">
        <v>168</v>
      </c>
      <c r="H171" s="65" t="s">
        <v>171</v>
      </c>
      <c r="I171" s="71" t="s">
        <v>99</v>
      </c>
      <c r="J171" s="69" t="s">
        <v>172</v>
      </c>
      <c r="K171" s="290">
        <v>40830</v>
      </c>
      <c r="L171" s="68" t="s">
        <v>52</v>
      </c>
      <c r="M171" s="406">
        <v>24</v>
      </c>
      <c r="N171" s="394">
        <v>7</v>
      </c>
      <c r="O171" s="527">
        <v>1775</v>
      </c>
      <c r="P171" s="528">
        <v>204</v>
      </c>
      <c r="Q171" s="378">
        <f>39089+12457+497+1407+378+156+1775</f>
        <v>55759</v>
      </c>
      <c r="R171" s="382">
        <f>3631+1290+71+217+63+19+204</f>
        <v>5495</v>
      </c>
      <c r="S171" s="499">
        <v>40907</v>
      </c>
    </row>
    <row r="172" spans="1:19" ht="15.75">
      <c r="A172" s="240"/>
      <c r="B172" s="240"/>
      <c r="C172" s="240"/>
      <c r="D172" s="240"/>
      <c r="E172" s="244"/>
      <c r="F172" s="260"/>
      <c r="G172" s="254" t="s">
        <v>168</v>
      </c>
      <c r="H172" s="65" t="s">
        <v>171</v>
      </c>
      <c r="I172" s="71" t="s">
        <v>99</v>
      </c>
      <c r="J172" s="69" t="s">
        <v>172</v>
      </c>
      <c r="K172" s="290">
        <v>40830</v>
      </c>
      <c r="L172" s="68" t="s">
        <v>52</v>
      </c>
      <c r="M172" s="406">
        <v>24</v>
      </c>
      <c r="N172" s="394">
        <v>8</v>
      </c>
      <c r="O172" s="425">
        <v>429</v>
      </c>
      <c r="P172" s="426">
        <v>72</v>
      </c>
      <c r="Q172" s="399">
        <f>39089+12457+497+1407+378+156+1775+429</f>
        <v>56188</v>
      </c>
      <c r="R172" s="382">
        <f>3631+1290+71+217+63+19+204+72</f>
        <v>5567</v>
      </c>
      <c r="S172" s="285">
        <v>40921</v>
      </c>
    </row>
    <row r="173" spans="1:19" ht="15.75">
      <c r="A173" s="240"/>
      <c r="B173" s="240"/>
      <c r="C173" s="253"/>
      <c r="D173" s="240"/>
      <c r="E173" s="252"/>
      <c r="F173" s="252"/>
      <c r="G173" s="261" t="s">
        <v>158</v>
      </c>
      <c r="H173" s="68" t="s">
        <v>162</v>
      </c>
      <c r="I173" s="68" t="s">
        <v>79</v>
      </c>
      <c r="J173" s="68" t="s">
        <v>161</v>
      </c>
      <c r="K173" s="291">
        <v>40907</v>
      </c>
      <c r="L173" s="68" t="s">
        <v>13</v>
      </c>
      <c r="M173" s="372">
        <v>1</v>
      </c>
      <c r="N173" s="373">
        <v>1</v>
      </c>
      <c r="O173" s="419">
        <v>2379</v>
      </c>
      <c r="P173" s="420">
        <v>255</v>
      </c>
      <c r="Q173" s="381">
        <v>2379</v>
      </c>
      <c r="R173" s="382">
        <v>255</v>
      </c>
      <c r="S173" s="499">
        <v>40907</v>
      </c>
    </row>
    <row r="174" spans="1:19" ht="15.75">
      <c r="A174" s="240"/>
      <c r="B174" s="240"/>
      <c r="C174" s="240"/>
      <c r="D174" s="240"/>
      <c r="E174" s="244"/>
      <c r="F174" s="244"/>
      <c r="G174" s="261" t="s">
        <v>158</v>
      </c>
      <c r="H174" s="68" t="s">
        <v>162</v>
      </c>
      <c r="I174" s="68" t="s">
        <v>79</v>
      </c>
      <c r="J174" s="68" t="s">
        <v>161</v>
      </c>
      <c r="K174" s="291">
        <v>40907</v>
      </c>
      <c r="L174" s="68" t="s">
        <v>13</v>
      </c>
      <c r="M174" s="350">
        <v>1</v>
      </c>
      <c r="N174" s="533">
        <v>2</v>
      </c>
      <c r="O174" s="500">
        <v>342</v>
      </c>
      <c r="P174" s="501">
        <v>34</v>
      </c>
      <c r="Q174" s="502">
        <v>2721</v>
      </c>
      <c r="R174" s="503">
        <v>289</v>
      </c>
      <c r="S174" s="285">
        <v>40914</v>
      </c>
    </row>
    <row r="175" spans="1:19" ht="15.75">
      <c r="A175" s="240"/>
      <c r="B175" s="240"/>
      <c r="C175" s="240"/>
      <c r="D175" s="240"/>
      <c r="E175" s="241"/>
      <c r="F175" s="252"/>
      <c r="G175" s="261" t="s">
        <v>408</v>
      </c>
      <c r="H175" s="65" t="s">
        <v>93</v>
      </c>
      <c r="I175" s="66" t="s">
        <v>95</v>
      </c>
      <c r="J175" s="68" t="s">
        <v>409</v>
      </c>
      <c r="K175" s="290">
        <v>40556</v>
      </c>
      <c r="L175" s="68" t="s">
        <v>10</v>
      </c>
      <c r="M175" s="372">
        <v>85</v>
      </c>
      <c r="N175" s="394">
        <v>1</v>
      </c>
      <c r="O175" s="423">
        <v>777874</v>
      </c>
      <c r="P175" s="424">
        <v>70890</v>
      </c>
      <c r="Q175" s="393">
        <v>777874</v>
      </c>
      <c r="R175" s="398">
        <v>70890</v>
      </c>
      <c r="S175" s="285">
        <v>40921</v>
      </c>
    </row>
    <row r="176" spans="1:19" ht="15.75">
      <c r="A176" s="253"/>
      <c r="B176" s="259">
        <v>3</v>
      </c>
      <c r="C176" s="253"/>
      <c r="D176" s="240"/>
      <c r="E176" s="252"/>
      <c r="F176" s="260"/>
      <c r="G176" s="254" t="s">
        <v>167</v>
      </c>
      <c r="H176" s="65" t="s">
        <v>170</v>
      </c>
      <c r="I176" s="71" t="s">
        <v>99</v>
      </c>
      <c r="J176" s="69" t="s">
        <v>169</v>
      </c>
      <c r="K176" s="291">
        <v>40872</v>
      </c>
      <c r="L176" s="68" t="s">
        <v>52</v>
      </c>
      <c r="M176" s="406">
        <v>21</v>
      </c>
      <c r="N176" s="394">
        <v>5</v>
      </c>
      <c r="O176" s="527">
        <v>3616.5</v>
      </c>
      <c r="P176" s="528">
        <v>459</v>
      </c>
      <c r="Q176" s="378">
        <f>48871+740+512+11538+3616.5</f>
        <v>65277.5</v>
      </c>
      <c r="R176" s="382">
        <f>5142+80+52+1109+459</f>
        <v>6842</v>
      </c>
      <c r="S176" s="499">
        <v>40907</v>
      </c>
    </row>
    <row r="177" spans="1:19" ht="15.75">
      <c r="A177" s="240"/>
      <c r="B177" s="240"/>
      <c r="C177" s="240"/>
      <c r="D177" s="240"/>
      <c r="E177" s="244"/>
      <c r="F177" s="244"/>
      <c r="G177" s="245" t="s">
        <v>200</v>
      </c>
      <c r="H177" s="65" t="s">
        <v>205</v>
      </c>
      <c r="I177" s="72" t="s">
        <v>206</v>
      </c>
      <c r="J177" s="72" t="s">
        <v>204</v>
      </c>
      <c r="K177" s="290">
        <v>40872</v>
      </c>
      <c r="L177" s="68" t="s">
        <v>12</v>
      </c>
      <c r="M177" s="350">
        <v>55</v>
      </c>
      <c r="N177" s="274">
        <v>7</v>
      </c>
      <c r="O177" s="500">
        <v>1489</v>
      </c>
      <c r="P177" s="501">
        <v>230</v>
      </c>
      <c r="Q177" s="502">
        <v>755597</v>
      </c>
      <c r="R177" s="503">
        <v>62961</v>
      </c>
      <c r="S177" s="285">
        <v>40914</v>
      </c>
    </row>
    <row r="178" spans="1:19" ht="15.75">
      <c r="A178" s="253"/>
      <c r="B178" s="253"/>
      <c r="C178" s="253"/>
      <c r="D178" s="253"/>
      <c r="E178" s="252"/>
      <c r="F178" s="239"/>
      <c r="G178" s="245" t="s">
        <v>200</v>
      </c>
      <c r="H178" s="65" t="s">
        <v>205</v>
      </c>
      <c r="I178" s="72" t="s">
        <v>206</v>
      </c>
      <c r="J178" s="72" t="s">
        <v>204</v>
      </c>
      <c r="K178" s="290">
        <v>40872</v>
      </c>
      <c r="L178" s="68" t="s">
        <v>12</v>
      </c>
      <c r="M178" s="372">
        <v>55</v>
      </c>
      <c r="N178" s="373">
        <v>6</v>
      </c>
      <c r="O178" s="497">
        <v>433</v>
      </c>
      <c r="P178" s="498">
        <v>58</v>
      </c>
      <c r="Q178" s="407">
        <v>754108</v>
      </c>
      <c r="R178" s="384">
        <v>62731</v>
      </c>
      <c r="S178" s="499">
        <v>40907</v>
      </c>
    </row>
    <row r="179" spans="1:19" ht="15.75">
      <c r="A179" s="256"/>
      <c r="B179" s="256"/>
      <c r="C179" s="240"/>
      <c r="D179" s="256"/>
      <c r="E179" s="244"/>
      <c r="F179" s="252"/>
      <c r="G179" s="261" t="s">
        <v>410</v>
      </c>
      <c r="H179" s="65" t="s">
        <v>413</v>
      </c>
      <c r="I179" s="68" t="s">
        <v>411</v>
      </c>
      <c r="J179" s="68" t="s">
        <v>412</v>
      </c>
      <c r="K179" s="290">
        <v>40921</v>
      </c>
      <c r="L179" s="68" t="s">
        <v>386</v>
      </c>
      <c r="M179" s="372">
        <v>30</v>
      </c>
      <c r="N179" s="373">
        <v>1</v>
      </c>
      <c r="O179" s="427">
        <v>209032</v>
      </c>
      <c r="P179" s="428">
        <v>15493</v>
      </c>
      <c r="Q179" s="400">
        <v>209032</v>
      </c>
      <c r="R179" s="401">
        <v>15493</v>
      </c>
      <c r="S179" s="285">
        <v>40921</v>
      </c>
    </row>
    <row r="180" spans="1:19" ht="15.75">
      <c r="A180" s="250" t="s">
        <v>223</v>
      </c>
      <c r="B180" s="259">
        <v>3</v>
      </c>
      <c r="C180" s="253"/>
      <c r="D180" s="240"/>
      <c r="E180" s="251" t="s">
        <v>55</v>
      </c>
      <c r="F180" s="348"/>
      <c r="G180" s="258" t="s">
        <v>219</v>
      </c>
      <c r="H180" s="69" t="s">
        <v>183</v>
      </c>
      <c r="I180" s="65" t="s">
        <v>189</v>
      </c>
      <c r="J180" s="70" t="s">
        <v>181</v>
      </c>
      <c r="K180" s="290">
        <v>40907</v>
      </c>
      <c r="L180" s="68" t="s">
        <v>8</v>
      </c>
      <c r="M180" s="402">
        <v>73</v>
      </c>
      <c r="N180" s="388">
        <v>1</v>
      </c>
      <c r="O180" s="423">
        <v>119808</v>
      </c>
      <c r="P180" s="424">
        <v>10660</v>
      </c>
      <c r="Q180" s="393">
        <v>119808</v>
      </c>
      <c r="R180" s="398">
        <v>10660</v>
      </c>
      <c r="S180" s="499">
        <v>40907</v>
      </c>
    </row>
    <row r="181" spans="1:19" ht="15.75">
      <c r="A181" s="250" t="s">
        <v>223</v>
      </c>
      <c r="B181" s="259">
        <v>3</v>
      </c>
      <c r="C181" s="240"/>
      <c r="D181" s="240"/>
      <c r="E181" s="251" t="s">
        <v>55</v>
      </c>
      <c r="F181" s="348"/>
      <c r="G181" s="258" t="s">
        <v>219</v>
      </c>
      <c r="H181" s="69" t="s">
        <v>183</v>
      </c>
      <c r="I181" s="65" t="s">
        <v>189</v>
      </c>
      <c r="J181" s="70" t="s">
        <v>181</v>
      </c>
      <c r="K181" s="290">
        <v>40907</v>
      </c>
      <c r="L181" s="68" t="s">
        <v>8</v>
      </c>
      <c r="M181" s="356">
        <v>73</v>
      </c>
      <c r="N181" s="266">
        <v>2</v>
      </c>
      <c r="O181" s="493">
        <v>21746</v>
      </c>
      <c r="P181" s="494">
        <v>2043</v>
      </c>
      <c r="Q181" s="495">
        <v>141554</v>
      </c>
      <c r="R181" s="496">
        <v>12703</v>
      </c>
      <c r="S181" s="285">
        <v>40914</v>
      </c>
    </row>
    <row r="182" spans="1:19" ht="15.75">
      <c r="A182" s="250" t="s">
        <v>223</v>
      </c>
      <c r="B182" s="259">
        <v>3</v>
      </c>
      <c r="C182" s="240"/>
      <c r="D182" s="240"/>
      <c r="E182" s="251" t="s">
        <v>55</v>
      </c>
      <c r="F182" s="348"/>
      <c r="G182" s="258" t="s">
        <v>219</v>
      </c>
      <c r="H182" s="69" t="s">
        <v>183</v>
      </c>
      <c r="I182" s="65" t="s">
        <v>189</v>
      </c>
      <c r="J182" s="70" t="s">
        <v>181</v>
      </c>
      <c r="K182" s="290">
        <v>40907</v>
      </c>
      <c r="L182" s="68" t="s">
        <v>8</v>
      </c>
      <c r="M182" s="402">
        <v>73</v>
      </c>
      <c r="N182" s="388">
        <v>3</v>
      </c>
      <c r="O182" s="421">
        <v>324</v>
      </c>
      <c r="P182" s="422">
        <v>32</v>
      </c>
      <c r="Q182" s="393">
        <v>141554</v>
      </c>
      <c r="R182" s="398">
        <v>12703</v>
      </c>
      <c r="S182" s="285">
        <v>40921</v>
      </c>
    </row>
    <row r="183" spans="1:19" ht="15.75">
      <c r="A183" s="240"/>
      <c r="B183" s="240"/>
      <c r="C183" s="240"/>
      <c r="D183" s="240"/>
      <c r="E183" s="244"/>
      <c r="F183" s="244"/>
      <c r="G183" s="243" t="s">
        <v>344</v>
      </c>
      <c r="H183" s="65" t="s">
        <v>345</v>
      </c>
      <c r="I183" s="70" t="s">
        <v>189</v>
      </c>
      <c r="J183" s="70" t="s">
        <v>346</v>
      </c>
      <c r="K183" s="291">
        <v>40914</v>
      </c>
      <c r="L183" s="68" t="s">
        <v>8</v>
      </c>
      <c r="M183" s="355">
        <v>36</v>
      </c>
      <c r="N183" s="266">
        <v>1</v>
      </c>
      <c r="O183" s="493">
        <v>273878</v>
      </c>
      <c r="P183" s="494">
        <v>21924</v>
      </c>
      <c r="Q183" s="495">
        <v>273878</v>
      </c>
      <c r="R183" s="496">
        <v>21924</v>
      </c>
      <c r="S183" s="285">
        <v>40914</v>
      </c>
    </row>
    <row r="184" spans="1:19" ht="15.75">
      <c r="A184" s="240"/>
      <c r="B184" s="240"/>
      <c r="C184" s="240"/>
      <c r="D184" s="240"/>
      <c r="E184" s="244"/>
      <c r="F184" s="244"/>
      <c r="G184" s="243" t="s">
        <v>344</v>
      </c>
      <c r="H184" s="65" t="s">
        <v>345</v>
      </c>
      <c r="I184" s="70" t="s">
        <v>189</v>
      </c>
      <c r="J184" s="70" t="s">
        <v>346</v>
      </c>
      <c r="K184" s="291">
        <v>40914</v>
      </c>
      <c r="L184" s="68" t="s">
        <v>8</v>
      </c>
      <c r="M184" s="387">
        <v>36</v>
      </c>
      <c r="N184" s="388">
        <v>2</v>
      </c>
      <c r="O184" s="421">
        <v>155690</v>
      </c>
      <c r="P184" s="422">
        <v>13332</v>
      </c>
      <c r="Q184" s="393">
        <v>372505</v>
      </c>
      <c r="R184" s="398">
        <v>29481</v>
      </c>
      <c r="S184" s="285">
        <v>40921</v>
      </c>
    </row>
    <row r="185" spans="1:19" ht="15.75">
      <c r="A185" s="250" t="s">
        <v>223</v>
      </c>
      <c r="B185" s="259">
        <v>3</v>
      </c>
      <c r="C185" s="253"/>
      <c r="D185" s="534"/>
      <c r="E185" s="251" t="s">
        <v>55</v>
      </c>
      <c r="F185" s="239"/>
      <c r="G185" s="243" t="s">
        <v>220</v>
      </c>
      <c r="H185" s="70" t="s">
        <v>93</v>
      </c>
      <c r="I185" s="68" t="s">
        <v>95</v>
      </c>
      <c r="J185" s="70" t="s">
        <v>60</v>
      </c>
      <c r="K185" s="290">
        <v>40760</v>
      </c>
      <c r="L185" s="68" t="s">
        <v>10</v>
      </c>
      <c r="M185" s="410">
        <v>184</v>
      </c>
      <c r="N185" s="394">
        <v>22</v>
      </c>
      <c r="O185" s="423">
        <v>3227</v>
      </c>
      <c r="P185" s="424">
        <v>581</v>
      </c>
      <c r="Q185" s="393">
        <v>11506311</v>
      </c>
      <c r="R185" s="398">
        <v>1142393</v>
      </c>
      <c r="S185" s="499">
        <v>40907</v>
      </c>
    </row>
    <row r="186" spans="1:19" ht="15.75">
      <c r="A186" s="250" t="s">
        <v>223</v>
      </c>
      <c r="B186" s="259">
        <v>3</v>
      </c>
      <c r="C186" s="240"/>
      <c r="D186" s="535"/>
      <c r="E186" s="251" t="s">
        <v>55</v>
      </c>
      <c r="F186" s="244"/>
      <c r="G186" s="243" t="s">
        <v>220</v>
      </c>
      <c r="H186" s="70" t="s">
        <v>93</v>
      </c>
      <c r="I186" s="68" t="s">
        <v>95</v>
      </c>
      <c r="J186" s="70" t="s">
        <v>60</v>
      </c>
      <c r="K186" s="290">
        <v>40760</v>
      </c>
      <c r="L186" s="68" t="s">
        <v>10</v>
      </c>
      <c r="M186" s="352">
        <v>184</v>
      </c>
      <c r="N186" s="276">
        <v>23</v>
      </c>
      <c r="O186" s="493">
        <v>2676</v>
      </c>
      <c r="P186" s="494">
        <v>704</v>
      </c>
      <c r="Q186" s="495">
        <f>11506311+2676</f>
        <v>11508987</v>
      </c>
      <c r="R186" s="496">
        <f>1142393+704</f>
        <v>1143097</v>
      </c>
      <c r="S186" s="285">
        <v>40914</v>
      </c>
    </row>
    <row r="187" spans="1:19" ht="15.75">
      <c r="A187" s="250" t="s">
        <v>223</v>
      </c>
      <c r="B187" s="259">
        <v>3</v>
      </c>
      <c r="C187" s="240"/>
      <c r="D187" s="535"/>
      <c r="E187" s="251" t="s">
        <v>55</v>
      </c>
      <c r="F187" s="244"/>
      <c r="G187" s="243" t="s">
        <v>220</v>
      </c>
      <c r="H187" s="70" t="s">
        <v>93</v>
      </c>
      <c r="I187" s="68" t="s">
        <v>95</v>
      </c>
      <c r="J187" s="70" t="s">
        <v>60</v>
      </c>
      <c r="K187" s="290">
        <v>40760</v>
      </c>
      <c r="L187" s="68" t="s">
        <v>10</v>
      </c>
      <c r="M187" s="410">
        <v>184</v>
      </c>
      <c r="N187" s="394">
        <v>24</v>
      </c>
      <c r="O187" s="423">
        <v>64</v>
      </c>
      <c r="P187" s="424">
        <v>10</v>
      </c>
      <c r="Q187" s="393">
        <v>11509051</v>
      </c>
      <c r="R187" s="398">
        <v>1143107</v>
      </c>
      <c r="S187" s="285">
        <v>40921</v>
      </c>
    </row>
    <row r="188" spans="1:19" ht="15.75">
      <c r="A188" s="250" t="s">
        <v>223</v>
      </c>
      <c r="B188" s="259">
        <v>3</v>
      </c>
      <c r="C188" s="253"/>
      <c r="D188" s="240"/>
      <c r="E188" s="251" t="s">
        <v>55</v>
      </c>
      <c r="F188" s="348"/>
      <c r="G188" s="243" t="s">
        <v>174</v>
      </c>
      <c r="H188" s="70" t="s">
        <v>185</v>
      </c>
      <c r="I188" s="70" t="s">
        <v>186</v>
      </c>
      <c r="J188" s="70" t="s">
        <v>177</v>
      </c>
      <c r="K188" s="290">
        <v>39710</v>
      </c>
      <c r="L188" s="68" t="s">
        <v>53</v>
      </c>
      <c r="M188" s="402">
        <v>66</v>
      </c>
      <c r="N188" s="403">
        <v>29</v>
      </c>
      <c r="O188" s="505">
        <v>1201</v>
      </c>
      <c r="P188" s="506">
        <v>240</v>
      </c>
      <c r="Q188" s="404">
        <f>152576+127511+68854.5+21974+10111.5+7103+7290+0.5+1014+3149+989+3524+0.5+3768+138+2528+257+351.5+573.5+184+3655+10+15+10+210+156+3603+3603+1922+1201</f>
        <v>426282</v>
      </c>
      <c r="R188" s="405">
        <f>50018+825+47+65+137+67+1215+2+3+2+35+26+721+720+384+240</f>
        <v>54507</v>
      </c>
      <c r="S188" s="499">
        <v>40907</v>
      </c>
    </row>
    <row r="189" spans="1:19" ht="15.75">
      <c r="A189" s="253"/>
      <c r="B189" s="253"/>
      <c r="C189" s="253"/>
      <c r="D189" s="253"/>
      <c r="E189" s="252"/>
      <c r="F189" s="239"/>
      <c r="G189" s="243" t="s">
        <v>149</v>
      </c>
      <c r="H189" s="65" t="s">
        <v>184</v>
      </c>
      <c r="I189" s="70" t="s">
        <v>189</v>
      </c>
      <c r="J189" s="70" t="s">
        <v>150</v>
      </c>
      <c r="K189" s="291">
        <v>40830</v>
      </c>
      <c r="L189" s="68" t="s">
        <v>8</v>
      </c>
      <c r="M189" s="387">
        <v>60</v>
      </c>
      <c r="N189" s="388">
        <v>9</v>
      </c>
      <c r="O189" s="423">
        <v>476</v>
      </c>
      <c r="P189" s="424">
        <v>70</v>
      </c>
      <c r="Q189" s="393">
        <v>386024</v>
      </c>
      <c r="R189" s="398">
        <v>40273</v>
      </c>
      <c r="S189" s="499">
        <v>40907</v>
      </c>
    </row>
    <row r="190" spans="1:19" ht="15.75">
      <c r="A190" s="253"/>
      <c r="B190" s="259">
        <v>3</v>
      </c>
      <c r="C190" s="253"/>
      <c r="D190" s="240"/>
      <c r="E190" s="252"/>
      <c r="F190" s="252"/>
      <c r="G190" s="248" t="s">
        <v>274</v>
      </c>
      <c r="H190" s="65" t="s">
        <v>140</v>
      </c>
      <c r="I190" s="69" t="s">
        <v>85</v>
      </c>
      <c r="J190" s="67" t="s">
        <v>286</v>
      </c>
      <c r="K190" s="290">
        <v>40830</v>
      </c>
      <c r="L190" s="68" t="s">
        <v>68</v>
      </c>
      <c r="M190" s="372">
        <v>98</v>
      </c>
      <c r="N190" s="510">
        <v>12</v>
      </c>
      <c r="O190" s="423">
        <v>6668.5</v>
      </c>
      <c r="P190" s="424">
        <v>1646</v>
      </c>
      <c r="Q190" s="393">
        <f>573965.5+340647.5+298149+37925.5+16221+796+1713.5+3994+1930+1403+3582+6668.5</f>
        <v>1286995.5</v>
      </c>
      <c r="R190" s="398">
        <f>50953+31140+27249+4634+2655+127+438+632+617+597+1015+1646</f>
        <v>121703</v>
      </c>
      <c r="S190" s="499">
        <v>40907</v>
      </c>
    </row>
    <row r="191" spans="1:19" ht="15.75">
      <c r="A191" s="253"/>
      <c r="B191" s="259">
        <v>3</v>
      </c>
      <c r="C191" s="253"/>
      <c r="D191" s="240"/>
      <c r="E191" s="252"/>
      <c r="F191" s="244"/>
      <c r="G191" s="248" t="s">
        <v>274</v>
      </c>
      <c r="H191" s="65" t="s">
        <v>140</v>
      </c>
      <c r="I191" s="69" t="s">
        <v>85</v>
      </c>
      <c r="J191" s="67" t="s">
        <v>286</v>
      </c>
      <c r="K191" s="290">
        <v>40830</v>
      </c>
      <c r="L191" s="68" t="s">
        <v>68</v>
      </c>
      <c r="M191" s="350">
        <v>98</v>
      </c>
      <c r="N191" s="274">
        <v>12</v>
      </c>
      <c r="O191" s="493">
        <v>488</v>
      </c>
      <c r="P191" s="494">
        <v>70</v>
      </c>
      <c r="Q191" s="495">
        <f>573965.5+340647.5+298149+37925.5+16221+796+1713.5+3994+1930+1403+3582+6668.5+488</f>
        <v>1287483.5</v>
      </c>
      <c r="R191" s="496">
        <f>50953+31140+27249+4634+2655+127+438+632+617+597+1015+1646+70</f>
        <v>121773</v>
      </c>
      <c r="S191" s="285">
        <v>40914</v>
      </c>
    </row>
    <row r="192" spans="1:19" ht="15.75">
      <c r="A192" s="253"/>
      <c r="B192" s="240"/>
      <c r="C192" s="240"/>
      <c r="D192" s="240"/>
      <c r="E192" s="240"/>
      <c r="F192" s="244"/>
      <c r="G192" s="245" t="s">
        <v>404</v>
      </c>
      <c r="H192" s="65" t="s">
        <v>83</v>
      </c>
      <c r="I192" s="72" t="s">
        <v>94</v>
      </c>
      <c r="J192" s="72" t="s">
        <v>405</v>
      </c>
      <c r="K192" s="290">
        <v>40851</v>
      </c>
      <c r="L192" s="68" t="s">
        <v>12</v>
      </c>
      <c r="M192" s="372">
        <v>72</v>
      </c>
      <c r="N192" s="373">
        <v>11</v>
      </c>
      <c r="O192" s="419">
        <v>612</v>
      </c>
      <c r="P192" s="420">
        <v>102</v>
      </c>
      <c r="Q192" s="383">
        <v>1116374</v>
      </c>
      <c r="R192" s="384">
        <v>103200</v>
      </c>
      <c r="S192" s="285">
        <v>40921</v>
      </c>
    </row>
    <row r="193" spans="1:19" ht="15.75">
      <c r="A193" s="265"/>
      <c r="B193" s="265"/>
      <c r="C193" s="253"/>
      <c r="D193" s="247" t="s">
        <v>292</v>
      </c>
      <c r="E193" s="252"/>
      <c r="F193" s="239"/>
      <c r="G193" s="248" t="s">
        <v>86</v>
      </c>
      <c r="H193" s="65" t="s">
        <v>90</v>
      </c>
      <c r="I193" s="70" t="s">
        <v>85</v>
      </c>
      <c r="J193" s="70" t="s">
        <v>84</v>
      </c>
      <c r="K193" s="290">
        <v>40865</v>
      </c>
      <c r="L193" s="68" t="s">
        <v>68</v>
      </c>
      <c r="M193" s="387">
        <v>269</v>
      </c>
      <c r="N193" s="373">
        <v>7</v>
      </c>
      <c r="O193" s="423">
        <v>50403.5</v>
      </c>
      <c r="P193" s="424">
        <v>10176</v>
      </c>
      <c r="Q193" s="393">
        <f>5909490.25+3097966.75+1490952+971866.5+533653.5+131687+50403.5</f>
        <v>12186019.5</v>
      </c>
      <c r="R193" s="398">
        <f>649738+347416+170125+112162+66621+19435+10176</f>
        <v>1375673</v>
      </c>
      <c r="S193" s="499">
        <v>40907</v>
      </c>
    </row>
    <row r="194" spans="1:19" ht="15.75">
      <c r="A194" s="255"/>
      <c r="B194" s="255"/>
      <c r="C194" s="253"/>
      <c r="D194" s="247" t="s">
        <v>292</v>
      </c>
      <c r="E194" s="252"/>
      <c r="F194" s="239"/>
      <c r="G194" s="248" t="s">
        <v>86</v>
      </c>
      <c r="H194" s="65" t="s">
        <v>90</v>
      </c>
      <c r="I194" s="70" t="s">
        <v>85</v>
      </c>
      <c r="J194" s="70" t="s">
        <v>84</v>
      </c>
      <c r="K194" s="290">
        <v>40865</v>
      </c>
      <c r="L194" s="68" t="s">
        <v>68</v>
      </c>
      <c r="M194" s="355">
        <v>269</v>
      </c>
      <c r="N194" s="492">
        <v>8</v>
      </c>
      <c r="O194" s="493">
        <v>9558</v>
      </c>
      <c r="P194" s="494">
        <v>1583</v>
      </c>
      <c r="Q194" s="495">
        <f>5909490.25+3097966.75+1490952+971866.5+533653.5+131687+50452.5+9558</f>
        <v>12195626.5</v>
      </c>
      <c r="R194" s="496">
        <f>649738+347416+170125+112162+66621+19435+10184+1583</f>
        <v>1377264</v>
      </c>
      <c r="S194" s="285">
        <v>40914</v>
      </c>
    </row>
    <row r="195" spans="1:19" ht="15.75">
      <c r="A195" s="255"/>
      <c r="B195" s="255"/>
      <c r="C195" s="253"/>
      <c r="D195" s="247" t="s">
        <v>292</v>
      </c>
      <c r="E195" s="252"/>
      <c r="F195" s="239"/>
      <c r="G195" s="248" t="s">
        <v>86</v>
      </c>
      <c r="H195" s="65" t="s">
        <v>90</v>
      </c>
      <c r="I195" s="70" t="s">
        <v>85</v>
      </c>
      <c r="J195" s="70" t="s">
        <v>84</v>
      </c>
      <c r="K195" s="290">
        <v>40865</v>
      </c>
      <c r="L195" s="68" t="s">
        <v>68</v>
      </c>
      <c r="M195" s="387">
        <v>269</v>
      </c>
      <c r="N195" s="373">
        <v>9</v>
      </c>
      <c r="O195" s="423">
        <v>4400</v>
      </c>
      <c r="P195" s="424">
        <v>654</v>
      </c>
      <c r="Q195" s="393">
        <f>5909490.25+3097966.75+1490952+971866.5+533653.5+131687+50452.5+9558+4400</f>
        <v>12200026.5</v>
      </c>
      <c r="R195" s="398">
        <f>649738+347416+170125+112162+66621+19435+10184+1583+654</f>
        <v>1377918</v>
      </c>
      <c r="S195" s="285">
        <v>40921</v>
      </c>
    </row>
    <row r="196" spans="1:19" ht="15.75">
      <c r="A196" s="253"/>
      <c r="B196" s="253"/>
      <c r="C196" s="253"/>
      <c r="D196" s="253"/>
      <c r="E196" s="252"/>
      <c r="F196" s="242" t="s">
        <v>54</v>
      </c>
      <c r="G196" s="511" t="s">
        <v>270</v>
      </c>
      <c r="H196" s="65" t="s">
        <v>283</v>
      </c>
      <c r="I196" s="69"/>
      <c r="J196" s="67" t="s">
        <v>270</v>
      </c>
      <c r="K196" s="291">
        <v>40095</v>
      </c>
      <c r="L196" s="68" t="s">
        <v>68</v>
      </c>
      <c r="M196" s="372">
        <v>52</v>
      </c>
      <c r="N196" s="373">
        <v>16</v>
      </c>
      <c r="O196" s="423">
        <v>952</v>
      </c>
      <c r="P196" s="424">
        <v>238</v>
      </c>
      <c r="Q196" s="393">
        <f>108013.25+68864+27976+10214+2402+2209+1188+2968+1780+1780+2427.4+364.82+248.58+1780+1188+952</f>
        <v>234355.05</v>
      </c>
      <c r="R196" s="398">
        <f>12202+8144+4339+1841+481+460+297+742+445+445+599+87+57+445+297+238</f>
        <v>31119</v>
      </c>
      <c r="S196" s="499">
        <v>40907</v>
      </c>
    </row>
    <row r="197" spans="1:19" ht="15.75">
      <c r="A197" s="240"/>
      <c r="B197" s="240"/>
      <c r="C197" s="240"/>
      <c r="D197" s="240"/>
      <c r="E197" s="244"/>
      <c r="F197" s="263"/>
      <c r="G197" s="258" t="s">
        <v>135</v>
      </c>
      <c r="H197" s="65" t="s">
        <v>133</v>
      </c>
      <c r="I197" s="71" t="s">
        <v>99</v>
      </c>
      <c r="J197" s="69" t="s">
        <v>134</v>
      </c>
      <c r="K197" s="291">
        <v>40851</v>
      </c>
      <c r="L197" s="68" t="s">
        <v>52</v>
      </c>
      <c r="M197" s="410">
        <v>29</v>
      </c>
      <c r="N197" s="394">
        <v>9</v>
      </c>
      <c r="O197" s="425">
        <v>1050</v>
      </c>
      <c r="P197" s="426">
        <v>150</v>
      </c>
      <c r="Q197" s="399">
        <f>58904+19329.5+590+8101+236+218+391.5+325+1050</f>
        <v>89145</v>
      </c>
      <c r="R197" s="382">
        <f>5890+1991+54+1603+47+38+47+65+150</f>
        <v>9885</v>
      </c>
      <c r="S197" s="285">
        <v>40921</v>
      </c>
    </row>
    <row r="198" spans="1:19" ht="15.75">
      <c r="A198" s="253"/>
      <c r="B198" s="253"/>
      <c r="C198" s="253"/>
      <c r="D198" s="253"/>
      <c r="E198" s="252"/>
      <c r="F198" s="260"/>
      <c r="G198" s="258" t="s">
        <v>135</v>
      </c>
      <c r="H198" s="65" t="s">
        <v>133</v>
      </c>
      <c r="I198" s="71" t="s">
        <v>99</v>
      </c>
      <c r="J198" s="69" t="s">
        <v>134</v>
      </c>
      <c r="K198" s="291">
        <v>40851</v>
      </c>
      <c r="L198" s="68" t="s">
        <v>52</v>
      </c>
      <c r="M198" s="410">
        <v>29</v>
      </c>
      <c r="N198" s="394">
        <v>7</v>
      </c>
      <c r="O198" s="527">
        <v>391.5</v>
      </c>
      <c r="P198" s="528">
        <v>47</v>
      </c>
      <c r="Q198" s="378">
        <f>58904+19329.5+590+8101+236+218+391.5</f>
        <v>87770</v>
      </c>
      <c r="R198" s="382">
        <f>5890+1991+54+1603+47+38+47</f>
        <v>9670</v>
      </c>
      <c r="S198" s="499">
        <v>40907</v>
      </c>
    </row>
    <row r="199" spans="1:19" ht="15.75">
      <c r="A199" s="250" t="s">
        <v>223</v>
      </c>
      <c r="B199" s="253"/>
      <c r="C199" s="253"/>
      <c r="D199" s="253"/>
      <c r="E199" s="251" t="s">
        <v>55</v>
      </c>
      <c r="F199" s="239"/>
      <c r="G199" s="245" t="s">
        <v>199</v>
      </c>
      <c r="H199" s="65" t="s">
        <v>207</v>
      </c>
      <c r="I199" s="72" t="s">
        <v>94</v>
      </c>
      <c r="J199" s="72" t="s">
        <v>199</v>
      </c>
      <c r="K199" s="291">
        <v>40648</v>
      </c>
      <c r="L199" s="68" t="s">
        <v>12</v>
      </c>
      <c r="M199" s="372">
        <v>76</v>
      </c>
      <c r="N199" s="373">
        <v>38</v>
      </c>
      <c r="O199" s="521">
        <v>608</v>
      </c>
      <c r="P199" s="522">
        <v>119</v>
      </c>
      <c r="Q199" s="383">
        <v>571364</v>
      </c>
      <c r="R199" s="384">
        <v>61448</v>
      </c>
      <c r="S199" s="499">
        <v>40907</v>
      </c>
    </row>
    <row r="200" spans="1:19" ht="15.75">
      <c r="A200" s="253"/>
      <c r="B200" s="253"/>
      <c r="C200" s="253"/>
      <c r="D200" s="253"/>
      <c r="E200" s="239"/>
      <c r="F200" s="242" t="s">
        <v>54</v>
      </c>
      <c r="G200" s="511" t="s">
        <v>115</v>
      </c>
      <c r="H200" s="65" t="s">
        <v>116</v>
      </c>
      <c r="I200" s="69"/>
      <c r="J200" s="67" t="s">
        <v>115</v>
      </c>
      <c r="K200" s="290">
        <v>40886</v>
      </c>
      <c r="L200" s="68" t="s">
        <v>12</v>
      </c>
      <c r="M200" s="372">
        <v>161</v>
      </c>
      <c r="N200" s="373">
        <v>4</v>
      </c>
      <c r="O200" s="521">
        <v>23157</v>
      </c>
      <c r="P200" s="522">
        <v>3682</v>
      </c>
      <c r="Q200" s="383">
        <v>853031</v>
      </c>
      <c r="R200" s="384">
        <v>102752</v>
      </c>
      <c r="S200" s="499">
        <v>40907</v>
      </c>
    </row>
    <row r="201" spans="1:19" ht="15.75">
      <c r="A201" s="240"/>
      <c r="B201" s="240"/>
      <c r="C201" s="240"/>
      <c r="D201" s="240"/>
      <c r="E201" s="244"/>
      <c r="F201" s="242" t="s">
        <v>54</v>
      </c>
      <c r="G201" s="511" t="s">
        <v>115</v>
      </c>
      <c r="H201" s="65" t="s">
        <v>116</v>
      </c>
      <c r="I201" s="69"/>
      <c r="J201" s="67" t="s">
        <v>115</v>
      </c>
      <c r="K201" s="290">
        <v>40886</v>
      </c>
      <c r="L201" s="68" t="s">
        <v>12</v>
      </c>
      <c r="M201" s="350">
        <v>161</v>
      </c>
      <c r="N201" s="274">
        <v>5</v>
      </c>
      <c r="O201" s="500">
        <v>11189</v>
      </c>
      <c r="P201" s="501">
        <v>1816</v>
      </c>
      <c r="Q201" s="502">
        <v>864220</v>
      </c>
      <c r="R201" s="503">
        <v>104568</v>
      </c>
      <c r="S201" s="285">
        <v>40914</v>
      </c>
    </row>
    <row r="202" spans="1:19" ht="15.75">
      <c r="A202" s="240"/>
      <c r="B202" s="240"/>
      <c r="C202" s="240"/>
      <c r="D202" s="240"/>
      <c r="E202" s="244"/>
      <c r="F202" s="242" t="s">
        <v>54</v>
      </c>
      <c r="G202" s="511" t="s">
        <v>115</v>
      </c>
      <c r="H202" s="65" t="s">
        <v>116</v>
      </c>
      <c r="I202" s="69"/>
      <c r="J202" s="67" t="s">
        <v>115</v>
      </c>
      <c r="K202" s="290">
        <v>40886</v>
      </c>
      <c r="L202" s="68" t="s">
        <v>12</v>
      </c>
      <c r="M202" s="372">
        <v>161</v>
      </c>
      <c r="N202" s="373">
        <v>6</v>
      </c>
      <c r="O202" s="419">
        <v>9906</v>
      </c>
      <c r="P202" s="420">
        <v>1845</v>
      </c>
      <c r="Q202" s="383">
        <v>874126</v>
      </c>
      <c r="R202" s="384">
        <v>106413</v>
      </c>
      <c r="S202" s="285">
        <v>40921</v>
      </c>
    </row>
  </sheetData>
  <sheetProtection/>
  <mergeCells count="2">
    <mergeCell ref="A1:S1"/>
    <mergeCell ref="A3:F3"/>
  </mergeCells>
  <printOptions/>
  <pageMargins left="0.7" right="0.7" top="0.75" bottom="0.75" header="0.3" footer="0.3"/>
  <pageSetup orientation="portrait" paperSize="9"/>
  <ignoredErrors>
    <ignoredError sqref="Q4:R38 Q54:R77 Q86:S112 Q121:R129 Q143:R144 R130:R142 Q130:Q142 O130:P142 Q150:R180 Q186:R199" unlockedFormula="1"/>
  </ignoredErrors>
</worksheet>
</file>

<file path=xl/worksheets/sheet5.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S1"/>
    </sheetView>
  </sheetViews>
  <sheetFormatPr defaultColWidth="9.140625" defaultRowHeight="12.75"/>
  <cols>
    <col min="1" max="7" width="1.8515625" style="0" customWidth="1"/>
    <col min="8" max="8" width="40.851562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1.28125" style="0" bestFit="1" customWidth="1"/>
    <col min="17" max="17" width="7.421875" style="0" bestFit="1" customWidth="1"/>
    <col min="18" max="18" width="5.421875" style="0" bestFit="1" customWidth="1"/>
    <col min="19" max="19" width="7.8515625" style="0" bestFit="1" customWidth="1"/>
  </cols>
  <sheetData>
    <row r="1" spans="1:19" ht="15">
      <c r="A1" s="624" t="s">
        <v>456</v>
      </c>
      <c r="B1" s="624"/>
      <c r="C1" s="624"/>
      <c r="D1" s="624"/>
      <c r="E1" s="624"/>
      <c r="F1" s="624"/>
      <c r="G1" s="624"/>
      <c r="H1" s="624"/>
      <c r="I1" s="624"/>
      <c r="J1" s="624"/>
      <c r="K1" s="624"/>
      <c r="L1" s="624"/>
      <c r="M1" s="624"/>
      <c r="N1" s="624"/>
      <c r="O1" s="624"/>
      <c r="P1" s="624"/>
      <c r="Q1" s="624"/>
      <c r="R1" s="624"/>
      <c r="S1" s="624"/>
    </row>
    <row r="2" spans="1:19" ht="12.75">
      <c r="A2" s="451"/>
      <c r="B2" s="451"/>
      <c r="C2" s="451"/>
      <c r="D2" s="451"/>
      <c r="E2" s="451"/>
      <c r="F2" s="451"/>
      <c r="G2" s="451"/>
      <c r="H2" s="451"/>
      <c r="I2" s="451"/>
      <c r="J2" s="451"/>
      <c r="K2" s="451"/>
      <c r="L2" s="451" t="s">
        <v>428</v>
      </c>
      <c r="M2" s="451"/>
      <c r="N2" s="451" t="s">
        <v>429</v>
      </c>
      <c r="O2" s="451"/>
      <c r="P2" s="451" t="s">
        <v>314</v>
      </c>
      <c r="Q2" s="451" t="s">
        <v>314</v>
      </c>
      <c r="R2" s="451"/>
      <c r="S2" s="451" t="s">
        <v>430</v>
      </c>
    </row>
    <row r="3" spans="1:19" ht="12.75">
      <c r="A3" s="625" t="s">
        <v>431</v>
      </c>
      <c r="B3" s="625"/>
      <c r="C3" s="625"/>
      <c r="D3" s="625"/>
      <c r="E3" s="625"/>
      <c r="F3" s="625"/>
      <c r="G3" s="625"/>
      <c r="H3" s="451" t="s">
        <v>432</v>
      </c>
      <c r="I3" s="451" t="s">
        <v>433</v>
      </c>
      <c r="J3" s="451" t="s">
        <v>434</v>
      </c>
      <c r="K3" s="451" t="s">
        <v>435</v>
      </c>
      <c r="L3" s="451" t="s">
        <v>436</v>
      </c>
      <c r="M3" s="451" t="s">
        <v>437</v>
      </c>
      <c r="N3" s="451" t="s">
        <v>438</v>
      </c>
      <c r="O3" s="451" t="s">
        <v>310</v>
      </c>
      <c r="P3" s="451" t="s">
        <v>315</v>
      </c>
      <c r="Q3" s="451" t="s">
        <v>316</v>
      </c>
      <c r="R3" s="451" t="s">
        <v>439</v>
      </c>
      <c r="S3" s="451" t="s">
        <v>440</v>
      </c>
    </row>
    <row r="4" spans="1:19" ht="15.75">
      <c r="A4" s="240"/>
      <c r="B4" s="240"/>
      <c r="C4" s="240"/>
      <c r="D4" s="240"/>
      <c r="E4" s="240"/>
      <c r="F4" s="244"/>
      <c r="G4" s="242" t="s">
        <v>54</v>
      </c>
      <c r="H4" s="473" t="s">
        <v>350</v>
      </c>
      <c r="I4" s="65" t="s">
        <v>351</v>
      </c>
      <c r="J4" s="72"/>
      <c r="K4" s="72" t="s">
        <v>350</v>
      </c>
      <c r="L4" s="290">
        <v>40914</v>
      </c>
      <c r="M4" s="68" t="s">
        <v>12</v>
      </c>
      <c r="N4" s="372">
        <v>204</v>
      </c>
      <c r="O4" s="373">
        <v>2</v>
      </c>
      <c r="P4" s="452">
        <v>3117783</v>
      </c>
      <c r="Q4" s="384">
        <v>333765</v>
      </c>
      <c r="R4" s="385">
        <f aca="true" t="shared" si="0" ref="R4:R19">P4/Q4</f>
        <v>9.341252078558266</v>
      </c>
      <c r="S4" s="386">
        <v>40921</v>
      </c>
    </row>
    <row r="5" spans="1:19" ht="15.75">
      <c r="A5" s="240"/>
      <c r="B5" s="250" t="s">
        <v>223</v>
      </c>
      <c r="C5" s="259">
        <v>3</v>
      </c>
      <c r="D5" s="246">
        <v>2</v>
      </c>
      <c r="E5" s="240"/>
      <c r="F5" s="251" t="s">
        <v>55</v>
      </c>
      <c r="G5" s="244"/>
      <c r="H5" s="248" t="s">
        <v>400</v>
      </c>
      <c r="I5" s="65" t="s">
        <v>217</v>
      </c>
      <c r="J5" s="69" t="s">
        <v>94</v>
      </c>
      <c r="K5" s="67" t="s">
        <v>401</v>
      </c>
      <c r="L5" s="290">
        <v>40921</v>
      </c>
      <c r="M5" s="68" t="s">
        <v>12</v>
      </c>
      <c r="N5" s="372">
        <v>101</v>
      </c>
      <c r="O5" s="373">
        <v>1</v>
      </c>
      <c r="P5" s="453">
        <v>2186377</v>
      </c>
      <c r="Q5" s="384">
        <v>209171</v>
      </c>
      <c r="R5" s="385">
        <f t="shared" si="0"/>
        <v>10.452581858861889</v>
      </c>
      <c r="S5" s="386">
        <v>40921</v>
      </c>
    </row>
    <row r="6" spans="1:19" ht="15.75">
      <c r="A6" s="240"/>
      <c r="B6" s="240"/>
      <c r="C6" s="259">
        <v>3</v>
      </c>
      <c r="D6" s="240"/>
      <c r="E6" s="240"/>
      <c r="F6" s="244"/>
      <c r="G6" s="244"/>
      <c r="H6" s="243" t="s">
        <v>348</v>
      </c>
      <c r="I6" s="65" t="s">
        <v>126</v>
      </c>
      <c r="J6" s="70" t="s">
        <v>89</v>
      </c>
      <c r="K6" s="70" t="s">
        <v>360</v>
      </c>
      <c r="L6" s="291">
        <v>40914</v>
      </c>
      <c r="M6" s="68" t="s">
        <v>68</v>
      </c>
      <c r="N6" s="372">
        <v>66</v>
      </c>
      <c r="O6" s="373">
        <v>2</v>
      </c>
      <c r="P6" s="454">
        <f>683638.5+541400</f>
        <v>1225038.5</v>
      </c>
      <c r="Q6" s="398">
        <f>65177+52837</f>
        <v>118014</v>
      </c>
      <c r="R6" s="385">
        <f t="shared" si="0"/>
        <v>10.380450624502178</v>
      </c>
      <c r="S6" s="386">
        <v>40921</v>
      </c>
    </row>
    <row r="7" spans="1:19" ht="15.75">
      <c r="A7" s="240"/>
      <c r="B7" s="240"/>
      <c r="C7" s="240"/>
      <c r="D7" s="240"/>
      <c r="E7" s="240"/>
      <c r="F7" s="241"/>
      <c r="G7" s="252"/>
      <c r="H7" s="261" t="s">
        <v>408</v>
      </c>
      <c r="I7" s="65" t="s">
        <v>93</v>
      </c>
      <c r="J7" s="66" t="s">
        <v>95</v>
      </c>
      <c r="K7" s="68" t="s">
        <v>409</v>
      </c>
      <c r="L7" s="290">
        <v>40556</v>
      </c>
      <c r="M7" s="68" t="s">
        <v>10</v>
      </c>
      <c r="N7" s="372">
        <v>85</v>
      </c>
      <c r="O7" s="394">
        <v>1</v>
      </c>
      <c r="P7" s="454">
        <v>777874</v>
      </c>
      <c r="Q7" s="398">
        <v>70890</v>
      </c>
      <c r="R7" s="385">
        <f t="shared" si="0"/>
        <v>10.97297221046692</v>
      </c>
      <c r="S7" s="386">
        <v>40921</v>
      </c>
    </row>
    <row r="8" spans="1:19" ht="15.75">
      <c r="A8" s="240"/>
      <c r="B8" s="240"/>
      <c r="C8" s="240"/>
      <c r="D8" s="240"/>
      <c r="E8" s="240"/>
      <c r="F8" s="244"/>
      <c r="G8" s="244"/>
      <c r="H8" s="254" t="s">
        <v>214</v>
      </c>
      <c r="I8" s="70" t="s">
        <v>216</v>
      </c>
      <c r="J8" s="68" t="s">
        <v>95</v>
      </c>
      <c r="K8" s="70" t="s">
        <v>215</v>
      </c>
      <c r="L8" s="290">
        <v>40907</v>
      </c>
      <c r="M8" s="68" t="s">
        <v>10</v>
      </c>
      <c r="N8" s="406">
        <v>64</v>
      </c>
      <c r="O8" s="394">
        <v>3</v>
      </c>
      <c r="P8" s="454">
        <v>661809</v>
      </c>
      <c r="Q8" s="398">
        <v>57957</v>
      </c>
      <c r="R8" s="385">
        <f t="shared" si="0"/>
        <v>11.418965784978518</v>
      </c>
      <c r="S8" s="386">
        <v>40921</v>
      </c>
    </row>
    <row r="9" spans="1:19" ht="15.75">
      <c r="A9" s="240"/>
      <c r="B9" s="240"/>
      <c r="C9" s="240"/>
      <c r="D9" s="240"/>
      <c r="E9" s="240"/>
      <c r="F9" s="244"/>
      <c r="G9" s="244"/>
      <c r="H9" s="245" t="s">
        <v>196</v>
      </c>
      <c r="I9" s="65" t="s">
        <v>212</v>
      </c>
      <c r="J9" s="72" t="s">
        <v>124</v>
      </c>
      <c r="K9" s="72" t="s">
        <v>203</v>
      </c>
      <c r="L9" s="290">
        <v>40907</v>
      </c>
      <c r="M9" s="68" t="s">
        <v>12</v>
      </c>
      <c r="N9" s="372">
        <v>60</v>
      </c>
      <c r="O9" s="373">
        <v>3</v>
      </c>
      <c r="P9" s="453">
        <v>608460</v>
      </c>
      <c r="Q9" s="384">
        <v>58464</v>
      </c>
      <c r="R9" s="385">
        <f t="shared" si="0"/>
        <v>10.407430213464696</v>
      </c>
      <c r="S9" s="386">
        <v>40921</v>
      </c>
    </row>
    <row r="10" spans="1:19" ht="15.75">
      <c r="A10" s="240"/>
      <c r="B10" s="455"/>
      <c r="C10" s="455"/>
      <c r="D10" s="240"/>
      <c r="E10" s="455"/>
      <c r="F10" s="244"/>
      <c r="G10" s="242" t="s">
        <v>54</v>
      </c>
      <c r="H10" s="471" t="s">
        <v>340</v>
      </c>
      <c r="I10" s="70" t="s">
        <v>342</v>
      </c>
      <c r="J10" s="65"/>
      <c r="K10" s="70" t="s">
        <v>340</v>
      </c>
      <c r="L10" s="290">
        <v>40914</v>
      </c>
      <c r="M10" s="68" t="s">
        <v>53</v>
      </c>
      <c r="N10" s="402">
        <v>97</v>
      </c>
      <c r="O10" s="403">
        <v>2</v>
      </c>
      <c r="P10" s="456">
        <f>216520+198358.5</f>
        <v>414878.5</v>
      </c>
      <c r="Q10" s="405">
        <f>26831+25025</f>
        <v>51856</v>
      </c>
      <c r="R10" s="385">
        <f t="shared" si="0"/>
        <v>8.000588167232335</v>
      </c>
      <c r="S10" s="386">
        <v>40921</v>
      </c>
    </row>
    <row r="11" spans="1:19" ht="15.75">
      <c r="A11" s="240"/>
      <c r="B11" s="250" t="s">
        <v>223</v>
      </c>
      <c r="C11" s="240"/>
      <c r="D11" s="240"/>
      <c r="E11" s="240"/>
      <c r="F11" s="244"/>
      <c r="G11" s="244"/>
      <c r="H11" s="243" t="s">
        <v>347</v>
      </c>
      <c r="I11" s="65" t="s">
        <v>126</v>
      </c>
      <c r="J11" s="70" t="s">
        <v>89</v>
      </c>
      <c r="K11" s="70" t="s">
        <v>359</v>
      </c>
      <c r="L11" s="291">
        <v>40914</v>
      </c>
      <c r="M11" s="68" t="s">
        <v>68</v>
      </c>
      <c r="N11" s="372">
        <v>56</v>
      </c>
      <c r="O11" s="373">
        <v>2</v>
      </c>
      <c r="P11" s="454">
        <f>212792+162247.5</f>
        <v>375039.5</v>
      </c>
      <c r="Q11" s="398">
        <f>19942+16768</f>
        <v>36710</v>
      </c>
      <c r="R11" s="385">
        <f t="shared" si="0"/>
        <v>10.216276219013892</v>
      </c>
      <c r="S11" s="386">
        <v>40921</v>
      </c>
    </row>
    <row r="12" spans="1:19" ht="15.75">
      <c r="A12" s="240"/>
      <c r="B12" s="240"/>
      <c r="C12" s="240"/>
      <c r="D12" s="240"/>
      <c r="E12" s="240"/>
      <c r="F12" s="244"/>
      <c r="G12" s="244"/>
      <c r="H12" s="243" t="s">
        <v>344</v>
      </c>
      <c r="I12" s="65" t="s">
        <v>345</v>
      </c>
      <c r="J12" s="70" t="s">
        <v>189</v>
      </c>
      <c r="K12" s="70" t="s">
        <v>346</v>
      </c>
      <c r="L12" s="291">
        <v>40914</v>
      </c>
      <c r="M12" s="68" t="s">
        <v>8</v>
      </c>
      <c r="N12" s="387">
        <v>36</v>
      </c>
      <c r="O12" s="388">
        <v>2</v>
      </c>
      <c r="P12" s="454">
        <v>372505</v>
      </c>
      <c r="Q12" s="398">
        <v>29481</v>
      </c>
      <c r="R12" s="385">
        <f t="shared" si="0"/>
        <v>12.635426206709406</v>
      </c>
      <c r="S12" s="386">
        <v>40921</v>
      </c>
    </row>
    <row r="13" spans="1:19" ht="15.75">
      <c r="A13" s="240"/>
      <c r="B13" s="240"/>
      <c r="C13" s="240"/>
      <c r="D13" s="240"/>
      <c r="E13" s="240"/>
      <c r="F13" s="244"/>
      <c r="G13" s="242" t="s">
        <v>54</v>
      </c>
      <c r="H13" s="472" t="s">
        <v>398</v>
      </c>
      <c r="I13" s="68" t="s">
        <v>399</v>
      </c>
      <c r="J13" s="68"/>
      <c r="K13" s="68" t="s">
        <v>398</v>
      </c>
      <c r="L13" s="290">
        <v>40921</v>
      </c>
      <c r="M13" s="68" t="s">
        <v>52</v>
      </c>
      <c r="N13" s="372">
        <v>49</v>
      </c>
      <c r="O13" s="394">
        <v>1</v>
      </c>
      <c r="P13" s="470">
        <v>357713</v>
      </c>
      <c r="Q13" s="382">
        <v>33400</v>
      </c>
      <c r="R13" s="385">
        <f t="shared" si="0"/>
        <v>10.70997005988024</v>
      </c>
      <c r="S13" s="386">
        <v>40921</v>
      </c>
    </row>
    <row r="14" spans="1:19" ht="15.75">
      <c r="A14" s="240"/>
      <c r="B14" s="240"/>
      <c r="C14" s="240"/>
      <c r="D14" s="240"/>
      <c r="E14" s="240"/>
      <c r="F14" s="244"/>
      <c r="G14" s="244"/>
      <c r="H14" s="248" t="s">
        <v>224</v>
      </c>
      <c r="I14" s="65" t="s">
        <v>193</v>
      </c>
      <c r="J14" s="69" t="s">
        <v>128</v>
      </c>
      <c r="K14" s="67" t="s">
        <v>191</v>
      </c>
      <c r="L14" s="291">
        <v>40907</v>
      </c>
      <c r="M14" s="68" t="s">
        <v>68</v>
      </c>
      <c r="N14" s="372">
        <v>19</v>
      </c>
      <c r="O14" s="373">
        <v>3</v>
      </c>
      <c r="P14" s="454">
        <f>108631+115157+28332.5</f>
        <v>252120.5</v>
      </c>
      <c r="Q14" s="398">
        <f>8552+8628+2468</f>
        <v>19648</v>
      </c>
      <c r="R14" s="385">
        <f t="shared" si="0"/>
        <v>12.831865838762216</v>
      </c>
      <c r="S14" s="386">
        <v>40921</v>
      </c>
    </row>
    <row r="15" spans="1:19" ht="15.75">
      <c r="A15" s="457"/>
      <c r="B15" s="457"/>
      <c r="C15" s="457"/>
      <c r="D15" s="240"/>
      <c r="E15" s="457"/>
      <c r="F15" s="244"/>
      <c r="G15" s="252"/>
      <c r="H15" s="261" t="s">
        <v>410</v>
      </c>
      <c r="I15" s="65" t="s">
        <v>413</v>
      </c>
      <c r="J15" s="68" t="s">
        <v>411</v>
      </c>
      <c r="K15" s="68" t="s">
        <v>412</v>
      </c>
      <c r="L15" s="290">
        <v>40921</v>
      </c>
      <c r="M15" s="68" t="s">
        <v>386</v>
      </c>
      <c r="N15" s="372">
        <v>30</v>
      </c>
      <c r="O15" s="373">
        <v>1</v>
      </c>
      <c r="P15" s="458">
        <v>209032</v>
      </c>
      <c r="Q15" s="401">
        <v>15493</v>
      </c>
      <c r="R15" s="385">
        <f t="shared" si="0"/>
        <v>13.49202865810366</v>
      </c>
      <c r="S15" s="386">
        <v>40921</v>
      </c>
    </row>
    <row r="16" spans="1:19" ht="15.75">
      <c r="A16" s="240"/>
      <c r="B16" s="250" t="s">
        <v>223</v>
      </c>
      <c r="C16" s="259">
        <v>3</v>
      </c>
      <c r="D16" s="240"/>
      <c r="E16" s="240"/>
      <c r="F16" s="251" t="s">
        <v>55</v>
      </c>
      <c r="G16" s="459"/>
      <c r="H16" s="258" t="s">
        <v>219</v>
      </c>
      <c r="I16" s="69" t="s">
        <v>183</v>
      </c>
      <c r="J16" s="65" t="s">
        <v>189</v>
      </c>
      <c r="K16" s="70" t="s">
        <v>181</v>
      </c>
      <c r="L16" s="290">
        <v>40907</v>
      </c>
      <c r="M16" s="68" t="s">
        <v>8</v>
      </c>
      <c r="N16" s="402">
        <v>73</v>
      </c>
      <c r="O16" s="388">
        <v>3</v>
      </c>
      <c r="P16" s="454">
        <v>141554</v>
      </c>
      <c r="Q16" s="398">
        <v>12703</v>
      </c>
      <c r="R16" s="385">
        <f t="shared" si="0"/>
        <v>11.143351964102967</v>
      </c>
      <c r="S16" s="386">
        <v>40921</v>
      </c>
    </row>
    <row r="17" spans="1:19" ht="15.75">
      <c r="A17" s="240"/>
      <c r="B17" s="457"/>
      <c r="C17" s="457"/>
      <c r="D17" s="240"/>
      <c r="E17" s="457"/>
      <c r="F17" s="244"/>
      <c r="G17" s="252"/>
      <c r="H17" s="261" t="s">
        <v>391</v>
      </c>
      <c r="I17" s="65" t="s">
        <v>393</v>
      </c>
      <c r="J17" s="68" t="s">
        <v>260</v>
      </c>
      <c r="K17" s="68" t="s">
        <v>392</v>
      </c>
      <c r="L17" s="290">
        <v>40921</v>
      </c>
      <c r="M17" s="68" t="s">
        <v>332</v>
      </c>
      <c r="N17" s="372">
        <v>16</v>
      </c>
      <c r="O17" s="373">
        <v>1</v>
      </c>
      <c r="P17" s="460">
        <v>38005.5</v>
      </c>
      <c r="Q17" s="382">
        <v>2857</v>
      </c>
      <c r="R17" s="385">
        <f t="shared" si="0"/>
        <v>13.302590129506475</v>
      </c>
      <c r="S17" s="386">
        <v>40921</v>
      </c>
    </row>
    <row r="18" spans="1:19" ht="15.75">
      <c r="A18" s="240"/>
      <c r="B18" s="240"/>
      <c r="C18" s="240"/>
      <c r="D18" s="240"/>
      <c r="E18" s="240"/>
      <c r="F18" s="251" t="s">
        <v>55</v>
      </c>
      <c r="G18" s="244"/>
      <c r="H18" s="261" t="s">
        <v>157</v>
      </c>
      <c r="I18" s="68" t="s">
        <v>163</v>
      </c>
      <c r="J18" s="68" t="s">
        <v>128</v>
      </c>
      <c r="K18" s="68" t="s">
        <v>160</v>
      </c>
      <c r="L18" s="290">
        <v>40907</v>
      </c>
      <c r="M18" s="68" t="s">
        <v>13</v>
      </c>
      <c r="N18" s="350">
        <v>2</v>
      </c>
      <c r="O18" s="274">
        <v>2</v>
      </c>
      <c r="P18" s="461">
        <v>2965</v>
      </c>
      <c r="Q18" s="282">
        <v>448</v>
      </c>
      <c r="R18" s="273">
        <f t="shared" si="0"/>
        <v>6.618303571428571</v>
      </c>
      <c r="S18" s="285">
        <v>40914</v>
      </c>
    </row>
    <row r="19" spans="1:19" ht="16.5" thickBot="1">
      <c r="A19" s="287"/>
      <c r="B19" s="287"/>
      <c r="C19" s="287"/>
      <c r="D19" s="287"/>
      <c r="E19" s="287"/>
      <c r="F19" s="288"/>
      <c r="G19" s="288"/>
      <c r="H19" s="462" t="s">
        <v>158</v>
      </c>
      <c r="I19" s="74" t="s">
        <v>162</v>
      </c>
      <c r="J19" s="74" t="s">
        <v>79</v>
      </c>
      <c r="K19" s="74" t="s">
        <v>161</v>
      </c>
      <c r="L19" s="463">
        <v>40907</v>
      </c>
      <c r="M19" s="74" t="s">
        <v>13</v>
      </c>
      <c r="N19" s="464">
        <v>1</v>
      </c>
      <c r="O19" s="465">
        <v>2</v>
      </c>
      <c r="P19" s="466">
        <v>2721</v>
      </c>
      <c r="Q19" s="467">
        <v>289</v>
      </c>
      <c r="R19" s="468">
        <f t="shared" si="0"/>
        <v>9.415224913494809</v>
      </c>
      <c r="S19" s="469">
        <v>40914</v>
      </c>
    </row>
  </sheetData>
  <sheetProtection/>
  <mergeCells count="2">
    <mergeCell ref="A1:S1"/>
    <mergeCell ref="A3:G3"/>
  </mergeCells>
  <printOptions/>
  <pageMargins left="0.7" right="0.7" top="0.75" bottom="0.75" header="0.3" footer="0.3"/>
  <pageSetup orientation="portrait" paperSize="9"/>
  <ignoredErrors>
    <ignoredError sqref="P6:Q16" unlockedFormula="1"/>
  </ignoredErrors>
</worksheet>
</file>

<file path=xl/worksheets/sheet6.xml><?xml version="1.0" encoding="utf-8"?>
<worksheet xmlns="http://schemas.openxmlformats.org/spreadsheetml/2006/main" xmlns:r="http://schemas.openxmlformats.org/officeDocument/2006/relationships">
  <dimension ref="A1:K17"/>
  <sheetViews>
    <sheetView zoomScalePageLayoutView="0" workbookViewId="0" topLeftCell="A1">
      <selection activeCell="E15" sqref="E15"/>
    </sheetView>
  </sheetViews>
  <sheetFormatPr defaultColWidth="9.140625" defaultRowHeight="12.75"/>
  <cols>
    <col min="1" max="1" width="7.00390625" style="136" bestFit="1" customWidth="1"/>
    <col min="2" max="2" width="11.28125" style="137" bestFit="1" customWidth="1"/>
    <col min="3" max="3" width="15.7109375" style="138" customWidth="1"/>
    <col min="4" max="4" width="18.421875" style="139" customWidth="1"/>
    <col min="5" max="5" width="18.421875" style="140" customWidth="1"/>
    <col min="6" max="6" width="14.28125" style="140" bestFit="1" customWidth="1"/>
    <col min="7" max="7" width="18.421875" style="139" customWidth="1"/>
    <col min="8" max="8" width="18.421875" style="140" bestFit="1" customWidth="1"/>
    <col min="9" max="9" width="15.7109375" style="136" bestFit="1" customWidth="1"/>
    <col min="10" max="10" width="34.421875" style="135" bestFit="1" customWidth="1"/>
    <col min="11" max="11" width="18.421875" style="140" customWidth="1"/>
    <col min="12" max="16384" width="9.140625" style="136" customWidth="1"/>
  </cols>
  <sheetData>
    <row r="1" spans="1:11" ht="18.75">
      <c r="A1" s="626" t="s">
        <v>326</v>
      </c>
      <c r="B1" s="627"/>
      <c r="C1" s="627"/>
      <c r="D1" s="627"/>
      <c r="E1" s="627"/>
      <c r="F1" s="627"/>
      <c r="G1" s="627"/>
      <c r="H1" s="627"/>
      <c r="I1" s="627"/>
      <c r="J1" s="627"/>
      <c r="K1" s="627"/>
    </row>
    <row r="2" spans="1:11" s="135" customFormat="1" ht="18.75">
      <c r="A2" s="141"/>
      <c r="B2" s="142"/>
      <c r="C2" s="143" t="s">
        <v>311</v>
      </c>
      <c r="D2" s="144"/>
      <c r="E2" s="145" t="s">
        <v>314</v>
      </c>
      <c r="F2" s="141" t="s">
        <v>314</v>
      </c>
      <c r="G2" s="144" t="s">
        <v>318</v>
      </c>
      <c r="H2" s="144" t="s">
        <v>318</v>
      </c>
      <c r="I2" s="141" t="s">
        <v>319</v>
      </c>
      <c r="J2" s="141" t="s">
        <v>322</v>
      </c>
      <c r="K2" s="145" t="s">
        <v>316</v>
      </c>
    </row>
    <row r="3" spans="1:11" s="135" customFormat="1" ht="18.75">
      <c r="A3" s="141"/>
      <c r="B3" s="142"/>
      <c r="C3" s="143" t="s">
        <v>312</v>
      </c>
      <c r="D3" s="144" t="s">
        <v>314</v>
      </c>
      <c r="E3" s="145" t="s">
        <v>316</v>
      </c>
      <c r="F3" s="141" t="s">
        <v>328</v>
      </c>
      <c r="G3" s="144" t="s">
        <v>314</v>
      </c>
      <c r="H3" s="144" t="s">
        <v>314</v>
      </c>
      <c r="I3" s="141" t="s">
        <v>320</v>
      </c>
      <c r="J3" s="141" t="s">
        <v>323</v>
      </c>
      <c r="K3" s="145" t="s">
        <v>325</v>
      </c>
    </row>
    <row r="4" spans="1:11" s="135" customFormat="1" ht="19.5" thickBot="1">
      <c r="A4" s="153" t="s">
        <v>309</v>
      </c>
      <c r="B4" s="154" t="s">
        <v>310</v>
      </c>
      <c r="C4" s="155" t="s">
        <v>313</v>
      </c>
      <c r="D4" s="156" t="s">
        <v>315</v>
      </c>
      <c r="E4" s="157" t="s">
        <v>317</v>
      </c>
      <c r="F4" s="153" t="s">
        <v>327</v>
      </c>
      <c r="G4" s="156" t="s">
        <v>315</v>
      </c>
      <c r="H4" s="156" t="s">
        <v>316</v>
      </c>
      <c r="I4" s="153" t="s">
        <v>321</v>
      </c>
      <c r="J4" s="153" t="s">
        <v>324</v>
      </c>
      <c r="K4" s="157" t="s">
        <v>313</v>
      </c>
    </row>
    <row r="5" spans="1:11" ht="18.75">
      <c r="A5" s="146">
        <v>2012</v>
      </c>
      <c r="B5" s="147">
        <v>40907</v>
      </c>
      <c r="C5" s="148">
        <v>74</v>
      </c>
      <c r="D5" s="149">
        <v>8200954.5</v>
      </c>
      <c r="E5" s="165">
        <v>908539</v>
      </c>
      <c r="F5" s="628">
        <f>IF(E6&lt;&gt;0,-(E6-E5)/E6,"")</f>
        <v>0.432929627801269</v>
      </c>
      <c r="G5" s="167">
        <v>4378379</v>
      </c>
      <c r="H5" s="150">
        <v>513723</v>
      </c>
      <c r="I5" s="151">
        <v>0.57</v>
      </c>
      <c r="J5" s="152" t="s">
        <v>141</v>
      </c>
      <c r="K5" s="150">
        <v>273690</v>
      </c>
    </row>
    <row r="6" spans="1:11" ht="19.5" thickBot="1">
      <c r="A6" s="158">
        <v>2011</v>
      </c>
      <c r="B6" s="159">
        <v>40543</v>
      </c>
      <c r="C6" s="160" t="s">
        <v>307</v>
      </c>
      <c r="D6" s="161">
        <v>6313693</v>
      </c>
      <c r="E6" s="166">
        <v>634043</v>
      </c>
      <c r="F6" s="629"/>
      <c r="G6" s="168">
        <v>2910042.5</v>
      </c>
      <c r="H6" s="162">
        <v>321979</v>
      </c>
      <c r="I6" s="163">
        <v>0.51</v>
      </c>
      <c r="J6" s="164" t="s">
        <v>308</v>
      </c>
      <c r="K6" s="162">
        <v>182375</v>
      </c>
    </row>
    <row r="7" ht="19.5" thickBot="1"/>
    <row r="8" spans="1:11" ht="18.75">
      <c r="A8" s="330">
        <v>2012</v>
      </c>
      <c r="B8" s="331">
        <v>40914</v>
      </c>
      <c r="C8" s="332" t="s">
        <v>387</v>
      </c>
      <c r="D8" s="333">
        <v>8481996</v>
      </c>
      <c r="E8" s="334">
        <v>884882</v>
      </c>
      <c r="F8" s="630">
        <f>IF(E9&lt;&gt;0,-(E9-E8)/E9,"")</f>
        <v>-0.5217898361655077</v>
      </c>
      <c r="G8" s="333">
        <v>4475888.5</v>
      </c>
      <c r="H8" s="334">
        <v>500419</v>
      </c>
      <c r="I8" s="335">
        <v>0.57</v>
      </c>
      <c r="J8" s="336" t="s">
        <v>141</v>
      </c>
      <c r="K8" s="334">
        <v>198737</v>
      </c>
    </row>
    <row r="9" spans="1:11" ht="19.5" thickBot="1">
      <c r="A9" s="158">
        <v>2011</v>
      </c>
      <c r="B9" s="159">
        <v>40550</v>
      </c>
      <c r="C9" s="160" t="s">
        <v>388</v>
      </c>
      <c r="D9" s="161">
        <v>17210409</v>
      </c>
      <c r="E9" s="162">
        <v>1850404</v>
      </c>
      <c r="F9" s="631"/>
      <c r="G9" s="161">
        <v>15725804</v>
      </c>
      <c r="H9" s="162">
        <v>1715171</v>
      </c>
      <c r="I9" s="163">
        <v>0.93</v>
      </c>
      <c r="J9" s="164" t="s">
        <v>389</v>
      </c>
      <c r="K9" s="162">
        <v>1226038</v>
      </c>
    </row>
    <row r="10" ht="19.5" thickBot="1"/>
    <row r="11" spans="1:11" ht="18.75">
      <c r="A11" s="330">
        <v>2012</v>
      </c>
      <c r="B11" s="331">
        <v>40921</v>
      </c>
      <c r="C11" s="332" t="s">
        <v>426</v>
      </c>
      <c r="D11" s="333">
        <v>9952732.5</v>
      </c>
      <c r="E11" s="334">
        <v>1038272</v>
      </c>
      <c r="F11" s="630">
        <f>IF(E12&lt;&gt;0,-(E12-E11)/E12,"")</f>
        <v>-0.29546535622267506</v>
      </c>
      <c r="G11" s="333">
        <v>4132151</v>
      </c>
      <c r="H11" s="334">
        <v>469150</v>
      </c>
      <c r="I11" s="335">
        <v>0.45</v>
      </c>
      <c r="J11" s="336" t="s">
        <v>401</v>
      </c>
      <c r="K11" s="334">
        <v>209171</v>
      </c>
    </row>
    <row r="12" spans="1:11" ht="19.5" thickBot="1">
      <c r="A12" s="158">
        <v>2011</v>
      </c>
      <c r="B12" s="159">
        <v>40557</v>
      </c>
      <c r="C12" s="160" t="s">
        <v>427</v>
      </c>
      <c r="D12" s="161">
        <v>13786400.25</v>
      </c>
      <c r="E12" s="162">
        <v>1473699</v>
      </c>
      <c r="F12" s="631"/>
      <c r="G12" s="161">
        <v>11172188</v>
      </c>
      <c r="H12" s="162">
        <v>1237966</v>
      </c>
      <c r="I12" s="163">
        <v>0.84</v>
      </c>
      <c r="J12" s="164" t="s">
        <v>389</v>
      </c>
      <c r="K12" s="162">
        <v>894074</v>
      </c>
    </row>
    <row r="13" ht="18.75">
      <c r="K13" s="136"/>
    </row>
    <row r="14" ht="18.75">
      <c r="K14" s="136"/>
    </row>
    <row r="15" ht="18.75">
      <c r="K15" s="136"/>
    </row>
    <row r="16" ht="18.75">
      <c r="K16" s="136"/>
    </row>
    <row r="17" ht="18.75">
      <c r="K17" s="136"/>
    </row>
  </sheetData>
  <sheetProtection/>
  <mergeCells count="4">
    <mergeCell ref="A1:K1"/>
    <mergeCell ref="F5:F6"/>
    <mergeCell ref="F8:F9"/>
    <mergeCell ref="F11:F12"/>
  </mergeCells>
  <printOptions/>
  <pageMargins left="0.7" right="0.7" top="0.75" bottom="0.75" header="0.3" footer="0.3"/>
  <pageSetup orientation="portrait" paperSize="9"/>
  <ignoredErrors>
    <ignoredError sqref="C6 C8:C12" numberStoredAsText="1"/>
  </ignoredErrors>
</worksheet>
</file>

<file path=xl/worksheets/sheet7.xml><?xml version="1.0" encoding="utf-8"?>
<worksheet xmlns="http://schemas.openxmlformats.org/spreadsheetml/2006/main" xmlns:r="http://schemas.openxmlformats.org/officeDocument/2006/relationships">
  <dimension ref="A1:X53"/>
  <sheetViews>
    <sheetView zoomScalePageLayoutView="0" workbookViewId="0" topLeftCell="A26">
      <selection activeCell="A26" sqref="A26"/>
    </sheetView>
  </sheetViews>
  <sheetFormatPr defaultColWidth="9.140625" defaultRowHeight="12.75"/>
  <cols>
    <col min="1" max="1" width="3.00390625" style="180" bestFit="1" customWidth="1"/>
    <col min="2" max="2" width="4.7109375" style="180" bestFit="1" customWidth="1"/>
    <col min="3" max="3" width="31.00390625" style="193" bestFit="1" customWidth="1"/>
    <col min="4" max="4" width="8.8515625" style="182"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216" customWidth="1"/>
  </cols>
  <sheetData>
    <row r="1" spans="1:24" ht="15.75">
      <c r="A1" s="195"/>
      <c r="B1" s="195"/>
      <c r="C1" s="196"/>
      <c r="D1" s="632" t="s">
        <v>334</v>
      </c>
      <c r="E1" s="633"/>
      <c r="F1" s="633"/>
      <c r="G1" s="633"/>
      <c r="H1" s="633"/>
      <c r="I1" s="633"/>
      <c r="J1" s="633"/>
      <c r="K1" s="633"/>
      <c r="L1" s="633"/>
      <c r="M1" s="633"/>
      <c r="N1" s="633"/>
      <c r="O1" s="633"/>
      <c r="P1" s="633"/>
      <c r="Q1" s="633"/>
      <c r="R1" s="633"/>
      <c r="S1" s="633"/>
      <c r="T1" s="633"/>
      <c r="U1" s="633"/>
      <c r="V1" s="633"/>
      <c r="W1" s="633"/>
      <c r="X1" s="633"/>
    </row>
    <row r="2" spans="1:24" ht="15.75">
      <c r="A2" s="195"/>
      <c r="B2" s="195"/>
      <c r="C2" s="196"/>
      <c r="D2" s="633"/>
      <c r="E2" s="633"/>
      <c r="F2" s="633"/>
      <c r="G2" s="633"/>
      <c r="H2" s="633"/>
      <c r="I2" s="633"/>
      <c r="J2" s="633"/>
      <c r="K2" s="633"/>
      <c r="L2" s="633"/>
      <c r="M2" s="633"/>
      <c r="N2" s="633"/>
      <c r="O2" s="633"/>
      <c r="P2" s="633"/>
      <c r="Q2" s="633"/>
      <c r="R2" s="633"/>
      <c r="S2" s="633"/>
      <c r="T2" s="633"/>
      <c r="U2" s="633"/>
      <c r="V2" s="633"/>
      <c r="W2" s="633"/>
      <c r="X2" s="633"/>
    </row>
    <row r="3" spans="1:24" ht="15.75">
      <c r="A3" s="195"/>
      <c r="B3" s="195"/>
      <c r="C3" s="197"/>
      <c r="D3" s="181" t="s">
        <v>329</v>
      </c>
      <c r="E3" s="170">
        <v>1</v>
      </c>
      <c r="F3" s="170">
        <v>2</v>
      </c>
      <c r="G3" s="170">
        <v>3</v>
      </c>
      <c r="H3" s="170">
        <v>4</v>
      </c>
      <c r="I3" s="170">
        <v>5</v>
      </c>
      <c r="J3" s="170">
        <v>6</v>
      </c>
      <c r="K3" s="170">
        <v>7</v>
      </c>
      <c r="L3" s="170">
        <v>8</v>
      </c>
      <c r="M3" s="170">
        <v>9</v>
      </c>
      <c r="N3" s="170">
        <v>10</v>
      </c>
      <c r="O3" s="170">
        <v>11</v>
      </c>
      <c r="P3" s="170">
        <v>12</v>
      </c>
      <c r="Q3" s="170">
        <v>13</v>
      </c>
      <c r="R3" s="170">
        <v>14</v>
      </c>
      <c r="S3" s="170">
        <v>15</v>
      </c>
      <c r="T3" s="170">
        <v>16</v>
      </c>
      <c r="U3" s="170">
        <v>17</v>
      </c>
      <c r="V3" s="170">
        <v>18</v>
      </c>
      <c r="W3" s="171" t="s">
        <v>310</v>
      </c>
      <c r="X3" s="172"/>
    </row>
    <row r="4" spans="1:24" ht="16.5" thickBot="1">
      <c r="A4" s="198"/>
      <c r="B4" s="198"/>
      <c r="C4" s="199"/>
      <c r="D4" s="185" t="s">
        <v>331</v>
      </c>
      <c r="E4" s="200">
        <v>0.75</v>
      </c>
      <c r="F4" s="200">
        <v>0.25</v>
      </c>
      <c r="G4" s="200">
        <v>3</v>
      </c>
      <c r="H4" s="200">
        <v>2</v>
      </c>
      <c r="I4" s="200">
        <v>0.75</v>
      </c>
      <c r="J4" s="200">
        <v>-3</v>
      </c>
      <c r="K4" s="200">
        <v>-4</v>
      </c>
      <c r="L4" s="200">
        <v>20</v>
      </c>
      <c r="M4" s="200">
        <v>10</v>
      </c>
      <c r="N4" s="200">
        <v>5</v>
      </c>
      <c r="O4" s="200">
        <v>3</v>
      </c>
      <c r="P4" s="200">
        <v>5</v>
      </c>
      <c r="Q4" s="200">
        <v>7</v>
      </c>
      <c r="R4" s="200">
        <v>3</v>
      </c>
      <c r="S4" s="200">
        <v>3</v>
      </c>
      <c r="T4" s="200">
        <v>3</v>
      </c>
      <c r="U4" s="200">
        <v>8.25</v>
      </c>
      <c r="V4" s="200">
        <v>16</v>
      </c>
      <c r="W4" s="186" t="s">
        <v>330</v>
      </c>
      <c r="X4" s="187" t="s">
        <v>310</v>
      </c>
    </row>
    <row r="5" spans="1:24" ht="16.5">
      <c r="A5" s="194">
        <v>1</v>
      </c>
      <c r="B5" s="194"/>
      <c r="C5" s="201" t="s">
        <v>8</v>
      </c>
      <c r="D5" s="183">
        <v>27.25</v>
      </c>
      <c r="E5" s="174">
        <v>1.5</v>
      </c>
      <c r="F5" s="174">
        <v>0.75</v>
      </c>
      <c r="G5" s="174">
        <v>0</v>
      </c>
      <c r="H5" s="174">
        <v>2</v>
      </c>
      <c r="I5" s="174">
        <v>0</v>
      </c>
      <c r="J5" s="174">
        <v>0</v>
      </c>
      <c r="K5" s="174">
        <v>0</v>
      </c>
      <c r="L5" s="173">
        <v>0</v>
      </c>
      <c r="M5" s="173">
        <v>0</v>
      </c>
      <c r="N5" s="174">
        <v>5</v>
      </c>
      <c r="O5" s="174">
        <v>3</v>
      </c>
      <c r="P5" s="174">
        <v>5</v>
      </c>
      <c r="Q5" s="174">
        <v>7</v>
      </c>
      <c r="R5" s="174">
        <v>3</v>
      </c>
      <c r="S5" s="174">
        <v>0</v>
      </c>
      <c r="T5" s="174">
        <v>0</v>
      </c>
      <c r="U5" s="174">
        <v>0</v>
      </c>
      <c r="V5" s="174">
        <v>0</v>
      </c>
      <c r="W5" s="174">
        <v>27.25</v>
      </c>
      <c r="X5" s="175">
        <v>1</v>
      </c>
    </row>
    <row r="6" spans="1:24" ht="16.5">
      <c r="A6" s="180">
        <v>2</v>
      </c>
      <c r="C6" s="202" t="s">
        <v>333</v>
      </c>
      <c r="D6" s="183">
        <v>13.5</v>
      </c>
      <c r="E6" s="174">
        <v>5.25</v>
      </c>
      <c r="F6" s="174">
        <v>3.5</v>
      </c>
      <c r="G6" s="174">
        <v>0</v>
      </c>
      <c r="H6" s="174">
        <v>4</v>
      </c>
      <c r="I6" s="176">
        <v>0.75</v>
      </c>
      <c r="J6" s="174">
        <v>0</v>
      </c>
      <c r="K6" s="174">
        <v>0</v>
      </c>
      <c r="L6" s="173">
        <v>0</v>
      </c>
      <c r="M6" s="173">
        <v>0</v>
      </c>
      <c r="N6" s="176">
        <v>0</v>
      </c>
      <c r="O6" s="176">
        <v>0</v>
      </c>
      <c r="P6" s="176">
        <v>0</v>
      </c>
      <c r="Q6" s="176">
        <v>0</v>
      </c>
      <c r="R6" s="176">
        <v>0</v>
      </c>
      <c r="S6" s="176">
        <v>0</v>
      </c>
      <c r="T6" s="176">
        <v>0</v>
      </c>
      <c r="U6" s="176">
        <v>0</v>
      </c>
      <c r="V6" s="176">
        <v>0</v>
      </c>
      <c r="W6" s="174">
        <v>13.5</v>
      </c>
      <c r="X6" s="175">
        <v>1</v>
      </c>
    </row>
    <row r="7" spans="1:24" ht="16.5">
      <c r="A7" s="194">
        <v>3</v>
      </c>
      <c r="B7" s="194"/>
      <c r="C7" s="203" t="s">
        <v>10</v>
      </c>
      <c r="D7" s="183">
        <v>6.75</v>
      </c>
      <c r="E7" s="173">
        <v>0.75</v>
      </c>
      <c r="F7" s="173">
        <v>1</v>
      </c>
      <c r="G7" s="173">
        <v>0</v>
      </c>
      <c r="H7" s="173">
        <v>2</v>
      </c>
      <c r="I7" s="173">
        <v>0</v>
      </c>
      <c r="J7" s="173">
        <v>0</v>
      </c>
      <c r="K7" s="173">
        <v>0</v>
      </c>
      <c r="L7" s="173">
        <v>0</v>
      </c>
      <c r="M7" s="173">
        <v>0</v>
      </c>
      <c r="N7" s="173">
        <v>0</v>
      </c>
      <c r="O7" s="173">
        <v>0</v>
      </c>
      <c r="P7" s="173">
        <v>0</v>
      </c>
      <c r="Q7" s="173">
        <v>0</v>
      </c>
      <c r="R7" s="173">
        <v>0</v>
      </c>
      <c r="S7" s="173">
        <v>0</v>
      </c>
      <c r="T7" s="173">
        <v>3</v>
      </c>
      <c r="U7" s="173">
        <v>0</v>
      </c>
      <c r="V7" s="173">
        <v>0</v>
      </c>
      <c r="W7" s="174">
        <v>6.75</v>
      </c>
      <c r="X7" s="175">
        <v>1</v>
      </c>
    </row>
    <row r="8" spans="1:24" ht="16.5">
      <c r="A8" s="180">
        <v>4</v>
      </c>
      <c r="C8" s="202" t="s">
        <v>12</v>
      </c>
      <c r="D8" s="183">
        <v>6.25</v>
      </c>
      <c r="E8" s="174">
        <v>0.75</v>
      </c>
      <c r="F8" s="174">
        <v>2.5</v>
      </c>
      <c r="G8" s="174">
        <v>0</v>
      </c>
      <c r="H8" s="174">
        <v>0</v>
      </c>
      <c r="I8" s="174">
        <v>0</v>
      </c>
      <c r="J8" s="174">
        <v>0</v>
      </c>
      <c r="K8" s="174">
        <v>0</v>
      </c>
      <c r="L8" s="173">
        <v>0</v>
      </c>
      <c r="M8" s="173">
        <v>0</v>
      </c>
      <c r="N8" s="174">
        <v>0</v>
      </c>
      <c r="O8" s="174">
        <v>0</v>
      </c>
      <c r="P8" s="174">
        <v>0</v>
      </c>
      <c r="Q8" s="174">
        <v>0</v>
      </c>
      <c r="R8" s="174">
        <v>0</v>
      </c>
      <c r="S8" s="174">
        <v>3</v>
      </c>
      <c r="T8" s="174">
        <v>0</v>
      </c>
      <c r="U8" s="174">
        <v>0</v>
      </c>
      <c r="V8" s="174">
        <v>0</v>
      </c>
      <c r="W8" s="174">
        <v>6.25</v>
      </c>
      <c r="X8" s="175">
        <v>1</v>
      </c>
    </row>
    <row r="9" spans="1:24" ht="16.5">
      <c r="A9" s="194">
        <v>5</v>
      </c>
      <c r="B9" s="194"/>
      <c r="C9" s="201" t="s">
        <v>53</v>
      </c>
      <c r="D9" s="183">
        <v>3.5</v>
      </c>
      <c r="E9" s="174">
        <v>3</v>
      </c>
      <c r="F9" s="174">
        <v>0.5</v>
      </c>
      <c r="G9" s="174">
        <v>0</v>
      </c>
      <c r="H9" s="174">
        <v>0</v>
      </c>
      <c r="I9" s="174">
        <v>0</v>
      </c>
      <c r="J9" s="174">
        <v>0</v>
      </c>
      <c r="K9" s="174">
        <v>0</v>
      </c>
      <c r="L9" s="173">
        <v>0</v>
      </c>
      <c r="M9" s="173">
        <v>0</v>
      </c>
      <c r="N9" s="174">
        <v>0</v>
      </c>
      <c r="O9" s="174">
        <v>0</v>
      </c>
      <c r="P9" s="174">
        <v>0</v>
      </c>
      <c r="Q9" s="174">
        <v>0</v>
      </c>
      <c r="R9" s="174">
        <v>0</v>
      </c>
      <c r="S9" s="174">
        <v>0</v>
      </c>
      <c r="T9" s="174">
        <v>0</v>
      </c>
      <c r="U9" s="174">
        <v>0</v>
      </c>
      <c r="V9" s="174">
        <v>0</v>
      </c>
      <c r="W9" s="174">
        <v>3.5</v>
      </c>
      <c r="X9" s="175">
        <v>1</v>
      </c>
    </row>
    <row r="10" spans="1:24" ht="16.5">
      <c r="A10" s="195">
        <v>6</v>
      </c>
      <c r="B10" s="195"/>
      <c r="C10" s="202" t="s">
        <v>52</v>
      </c>
      <c r="D10" s="183">
        <v>2.25</v>
      </c>
      <c r="E10" s="174">
        <v>1.5</v>
      </c>
      <c r="F10" s="174">
        <v>0.75</v>
      </c>
      <c r="G10" s="174">
        <v>0</v>
      </c>
      <c r="H10" s="174">
        <v>0</v>
      </c>
      <c r="I10" s="174">
        <v>0</v>
      </c>
      <c r="J10" s="174">
        <v>0</v>
      </c>
      <c r="K10" s="174">
        <v>0</v>
      </c>
      <c r="L10" s="173">
        <v>0</v>
      </c>
      <c r="M10" s="173">
        <v>0</v>
      </c>
      <c r="N10" s="174">
        <v>0</v>
      </c>
      <c r="O10" s="174">
        <v>0</v>
      </c>
      <c r="P10" s="174">
        <v>0</v>
      </c>
      <c r="Q10" s="174">
        <v>0</v>
      </c>
      <c r="R10" s="174">
        <v>0</v>
      </c>
      <c r="S10" s="174">
        <v>0</v>
      </c>
      <c r="T10" s="174">
        <v>0</v>
      </c>
      <c r="U10" s="174">
        <v>0</v>
      </c>
      <c r="V10" s="174">
        <v>0</v>
      </c>
      <c r="W10" s="174">
        <v>2.25</v>
      </c>
      <c r="X10" s="175">
        <v>1</v>
      </c>
    </row>
    <row r="11" spans="1:24" ht="16.5">
      <c r="A11" s="194">
        <v>7</v>
      </c>
      <c r="B11" s="194"/>
      <c r="C11" s="201" t="s">
        <v>121</v>
      </c>
      <c r="D11" s="183">
        <v>0.75</v>
      </c>
      <c r="E11" s="174">
        <v>0.75</v>
      </c>
      <c r="F11" s="174">
        <v>0</v>
      </c>
      <c r="G11" s="174">
        <v>0</v>
      </c>
      <c r="H11" s="174">
        <v>0</v>
      </c>
      <c r="I11" s="174">
        <v>0</v>
      </c>
      <c r="J11" s="174">
        <v>0</v>
      </c>
      <c r="K11" s="174">
        <v>0</v>
      </c>
      <c r="L11" s="173">
        <v>0</v>
      </c>
      <c r="M11" s="173">
        <v>0</v>
      </c>
      <c r="N11" s="174">
        <v>0</v>
      </c>
      <c r="O11" s="174">
        <v>0</v>
      </c>
      <c r="P11" s="174">
        <v>0</v>
      </c>
      <c r="Q11" s="174">
        <v>0</v>
      </c>
      <c r="R11" s="174">
        <v>0</v>
      </c>
      <c r="S11" s="174">
        <v>0</v>
      </c>
      <c r="T11" s="174">
        <v>0</v>
      </c>
      <c r="U11" s="174">
        <v>0</v>
      </c>
      <c r="V11" s="174">
        <v>0</v>
      </c>
      <c r="W11" s="174">
        <v>0.75</v>
      </c>
      <c r="X11" s="175">
        <v>1</v>
      </c>
    </row>
    <row r="12" spans="1:24" ht="17.25" thickBot="1">
      <c r="A12" s="198">
        <v>8</v>
      </c>
      <c r="B12" s="198"/>
      <c r="C12" s="204" t="s">
        <v>332</v>
      </c>
      <c r="D12" s="189">
        <v>-1</v>
      </c>
      <c r="E12" s="190">
        <v>0</v>
      </c>
      <c r="F12" s="190">
        <v>1</v>
      </c>
      <c r="G12" s="190">
        <v>0</v>
      </c>
      <c r="H12" s="190">
        <v>4</v>
      </c>
      <c r="I12" s="190">
        <v>0</v>
      </c>
      <c r="J12" s="190">
        <v>-6</v>
      </c>
      <c r="K12" s="190">
        <v>0</v>
      </c>
      <c r="L12" s="192">
        <v>0</v>
      </c>
      <c r="M12" s="192">
        <v>0</v>
      </c>
      <c r="N12" s="190">
        <v>0</v>
      </c>
      <c r="O12" s="190">
        <v>0</v>
      </c>
      <c r="P12" s="190">
        <v>0</v>
      </c>
      <c r="Q12" s="190">
        <v>0</v>
      </c>
      <c r="R12" s="190">
        <v>0</v>
      </c>
      <c r="S12" s="190">
        <v>0</v>
      </c>
      <c r="T12" s="190">
        <v>0</v>
      </c>
      <c r="U12" s="190">
        <v>0</v>
      </c>
      <c r="V12" s="190">
        <v>0</v>
      </c>
      <c r="W12" s="190">
        <v>-1</v>
      </c>
      <c r="X12" s="191">
        <v>1</v>
      </c>
    </row>
    <row r="13" spans="1:24" ht="15.75">
      <c r="A13" s="195"/>
      <c r="B13" s="195"/>
      <c r="C13" s="197"/>
      <c r="D13" s="184"/>
      <c r="E13" s="177"/>
      <c r="F13" s="177"/>
      <c r="G13" s="177"/>
      <c r="H13" s="178"/>
      <c r="I13" s="178"/>
      <c r="J13" s="177"/>
      <c r="K13" s="177"/>
      <c r="L13" s="177"/>
      <c r="M13" s="177"/>
      <c r="N13" s="177"/>
      <c r="O13" s="177"/>
      <c r="P13" s="177"/>
      <c r="Q13" s="177"/>
      <c r="R13" s="177"/>
      <c r="S13" s="177"/>
      <c r="T13" s="177"/>
      <c r="U13" s="177"/>
      <c r="V13" s="177"/>
      <c r="W13" s="179"/>
      <c r="X13" s="169"/>
    </row>
    <row r="14" spans="1:24" ht="15.75">
      <c r="A14" s="195"/>
      <c r="B14" s="195"/>
      <c r="C14" s="197"/>
      <c r="D14" s="632" t="s">
        <v>385</v>
      </c>
      <c r="E14" s="633"/>
      <c r="F14" s="633"/>
      <c r="G14" s="633"/>
      <c r="H14" s="633"/>
      <c r="I14" s="633"/>
      <c r="J14" s="633"/>
      <c r="K14" s="633"/>
      <c r="L14" s="633"/>
      <c r="M14" s="633"/>
      <c r="N14" s="633"/>
      <c r="O14" s="633"/>
      <c r="P14" s="633"/>
      <c r="Q14" s="633"/>
      <c r="R14" s="633"/>
      <c r="S14" s="633"/>
      <c r="T14" s="633"/>
      <c r="U14" s="633"/>
      <c r="V14" s="633"/>
      <c r="W14" s="633"/>
      <c r="X14" s="633"/>
    </row>
    <row r="15" spans="1:24" ht="15.75">
      <c r="A15" s="195"/>
      <c r="B15" s="195"/>
      <c r="C15" s="197"/>
      <c r="D15" s="633"/>
      <c r="E15" s="633"/>
      <c r="F15" s="633"/>
      <c r="G15" s="633"/>
      <c r="H15" s="633"/>
      <c r="I15" s="633"/>
      <c r="J15" s="633"/>
      <c r="K15" s="633"/>
      <c r="L15" s="633"/>
      <c r="M15" s="633"/>
      <c r="N15" s="633"/>
      <c r="O15" s="633"/>
      <c r="P15" s="633"/>
      <c r="Q15" s="633"/>
      <c r="R15" s="633"/>
      <c r="S15" s="633"/>
      <c r="T15" s="633"/>
      <c r="U15" s="633"/>
      <c r="V15" s="633"/>
      <c r="W15" s="633"/>
      <c r="X15" s="633"/>
    </row>
    <row r="16" spans="1:24" ht="15.75">
      <c r="A16" s="195"/>
      <c r="B16" s="195"/>
      <c r="C16" s="197"/>
      <c r="D16" s="181" t="s">
        <v>329</v>
      </c>
      <c r="E16" s="170">
        <v>1</v>
      </c>
      <c r="F16" s="170">
        <v>2</v>
      </c>
      <c r="G16" s="170">
        <v>3</v>
      </c>
      <c r="H16" s="170">
        <v>4</v>
      </c>
      <c r="I16" s="170">
        <v>5</v>
      </c>
      <c r="J16" s="170">
        <v>6</v>
      </c>
      <c r="K16" s="170">
        <v>7</v>
      </c>
      <c r="L16" s="170">
        <v>8</v>
      </c>
      <c r="M16" s="170">
        <v>9</v>
      </c>
      <c r="N16" s="170">
        <v>10</v>
      </c>
      <c r="O16" s="170">
        <v>11</v>
      </c>
      <c r="P16" s="170">
        <v>12</v>
      </c>
      <c r="Q16" s="170">
        <v>13</v>
      </c>
      <c r="R16" s="170">
        <v>14</v>
      </c>
      <c r="S16" s="170">
        <v>15</v>
      </c>
      <c r="T16" s="170">
        <v>16</v>
      </c>
      <c r="U16" s="170">
        <v>17</v>
      </c>
      <c r="V16" s="170">
        <v>18</v>
      </c>
      <c r="W16" s="171" t="s">
        <v>310</v>
      </c>
      <c r="X16" s="172"/>
    </row>
    <row r="17" spans="1:24" ht="16.5" thickBot="1">
      <c r="A17" s="198"/>
      <c r="B17" s="198"/>
      <c r="C17" s="199"/>
      <c r="D17" s="185" t="s">
        <v>331</v>
      </c>
      <c r="E17" s="200">
        <v>0.75</v>
      </c>
      <c r="F17" s="200">
        <v>0.25</v>
      </c>
      <c r="G17" s="200">
        <v>3</v>
      </c>
      <c r="H17" s="200">
        <v>2</v>
      </c>
      <c r="I17" s="200">
        <v>0.75</v>
      </c>
      <c r="J17" s="200">
        <v>-3</v>
      </c>
      <c r="K17" s="200">
        <v>-4</v>
      </c>
      <c r="L17" s="200">
        <v>20</v>
      </c>
      <c r="M17" s="200">
        <v>10</v>
      </c>
      <c r="N17" s="200">
        <v>5</v>
      </c>
      <c r="O17" s="200">
        <v>3</v>
      </c>
      <c r="P17" s="200">
        <v>5</v>
      </c>
      <c r="Q17" s="200">
        <v>7</v>
      </c>
      <c r="R17" s="200">
        <v>3</v>
      </c>
      <c r="S17" s="200">
        <v>3</v>
      </c>
      <c r="T17" s="200">
        <v>3</v>
      </c>
      <c r="U17" s="200">
        <v>8.25</v>
      </c>
      <c r="V17" s="200">
        <v>16</v>
      </c>
      <c r="W17" s="186" t="s">
        <v>330</v>
      </c>
      <c r="X17" s="187" t="s">
        <v>310</v>
      </c>
    </row>
    <row r="18" spans="1:24" ht="19.5">
      <c r="A18" s="194">
        <v>1</v>
      </c>
      <c r="B18" s="209">
        <v>4</v>
      </c>
      <c r="C18" s="205" t="s">
        <v>8</v>
      </c>
      <c r="D18" s="183">
        <f>W5+W18</f>
        <v>39.5</v>
      </c>
      <c r="E18" s="174">
        <v>1.5</v>
      </c>
      <c r="F18" s="174">
        <v>0.75</v>
      </c>
      <c r="G18" s="174">
        <v>0</v>
      </c>
      <c r="H18" s="174">
        <v>2</v>
      </c>
      <c r="I18" s="174">
        <v>0</v>
      </c>
      <c r="J18" s="174">
        <v>0</v>
      </c>
      <c r="K18" s="174">
        <v>0</v>
      </c>
      <c r="L18" s="174">
        <v>0</v>
      </c>
      <c r="M18" s="174">
        <v>0</v>
      </c>
      <c r="N18" s="174">
        <v>0</v>
      </c>
      <c r="O18" s="174">
        <v>0</v>
      </c>
      <c r="P18" s="174">
        <v>5</v>
      </c>
      <c r="Q18" s="174">
        <v>0</v>
      </c>
      <c r="R18" s="174">
        <v>3</v>
      </c>
      <c r="S18" s="174">
        <v>0</v>
      </c>
      <c r="T18" s="174">
        <v>0</v>
      </c>
      <c r="U18" s="174">
        <v>0</v>
      </c>
      <c r="V18" s="174">
        <v>0</v>
      </c>
      <c r="W18" s="174">
        <f>SUM(E18:V18)</f>
        <v>12.25</v>
      </c>
      <c r="X18" s="175">
        <v>2</v>
      </c>
    </row>
    <row r="19" spans="1:24" ht="19.5">
      <c r="A19" s="180">
        <v>2</v>
      </c>
      <c r="B19" s="210">
        <v>4</v>
      </c>
      <c r="C19" s="206" t="s">
        <v>333</v>
      </c>
      <c r="D19" s="183">
        <f aca="true" t="shared" si="0" ref="D19:D25">W6+W19</f>
        <v>36.5</v>
      </c>
      <c r="E19" s="174">
        <v>6.75</v>
      </c>
      <c r="F19" s="174">
        <v>4.5</v>
      </c>
      <c r="G19" s="174">
        <v>0</v>
      </c>
      <c r="H19" s="174">
        <v>4</v>
      </c>
      <c r="I19" s="174">
        <v>0.75</v>
      </c>
      <c r="J19" s="174">
        <v>0</v>
      </c>
      <c r="K19" s="174">
        <v>0</v>
      </c>
      <c r="L19" s="174">
        <v>0</v>
      </c>
      <c r="M19" s="174">
        <v>0</v>
      </c>
      <c r="N19" s="174">
        <v>0</v>
      </c>
      <c r="O19" s="174">
        <v>0</v>
      </c>
      <c r="P19" s="174">
        <v>0</v>
      </c>
      <c r="Q19" s="174">
        <v>7</v>
      </c>
      <c r="R19" s="174">
        <v>0</v>
      </c>
      <c r="S19" s="174">
        <v>0</v>
      </c>
      <c r="T19" s="174">
        <v>0</v>
      </c>
      <c r="U19" s="174">
        <v>0</v>
      </c>
      <c r="V19" s="174">
        <v>0</v>
      </c>
      <c r="W19" s="174">
        <f aca="true" t="shared" si="1" ref="W19:W25">SUM(E19:V19)</f>
        <v>23</v>
      </c>
      <c r="X19" s="175">
        <v>2</v>
      </c>
    </row>
    <row r="20" spans="1:24" ht="19.5">
      <c r="A20" s="194">
        <v>3</v>
      </c>
      <c r="B20" s="211">
        <v>5</v>
      </c>
      <c r="C20" s="205" t="s">
        <v>12</v>
      </c>
      <c r="D20" s="183">
        <f t="shared" si="0"/>
        <v>22.75</v>
      </c>
      <c r="E20" s="174">
        <v>1.5</v>
      </c>
      <c r="F20" s="174">
        <v>2.5</v>
      </c>
      <c r="G20" s="174">
        <v>3</v>
      </c>
      <c r="H20" s="174">
        <v>0</v>
      </c>
      <c r="I20" s="174">
        <v>0</v>
      </c>
      <c r="J20" s="174">
        <v>0</v>
      </c>
      <c r="K20" s="174">
        <v>0</v>
      </c>
      <c r="L20" s="174">
        <v>0</v>
      </c>
      <c r="M20" s="174">
        <v>0</v>
      </c>
      <c r="N20" s="174">
        <v>0</v>
      </c>
      <c r="O20" s="174">
        <v>3</v>
      </c>
      <c r="P20" s="174">
        <v>0</v>
      </c>
      <c r="Q20" s="174">
        <v>0</v>
      </c>
      <c r="R20" s="174">
        <v>0</v>
      </c>
      <c r="S20" s="174">
        <v>3</v>
      </c>
      <c r="T20" s="174">
        <v>3</v>
      </c>
      <c r="U20" s="174">
        <v>0</v>
      </c>
      <c r="V20" s="174">
        <v>0</v>
      </c>
      <c r="W20" s="174">
        <f t="shared" si="1"/>
        <v>16</v>
      </c>
      <c r="X20" s="175">
        <v>2</v>
      </c>
    </row>
    <row r="21" spans="1:24" ht="19.5">
      <c r="A21" s="180">
        <v>4</v>
      </c>
      <c r="B21" s="212">
        <v>5</v>
      </c>
      <c r="C21" s="206" t="s">
        <v>53</v>
      </c>
      <c r="D21" s="183">
        <f t="shared" si="0"/>
        <v>13.25</v>
      </c>
      <c r="E21" s="174">
        <v>3.75</v>
      </c>
      <c r="F21" s="174">
        <v>0.25</v>
      </c>
      <c r="G21" s="174">
        <v>3</v>
      </c>
      <c r="H21" s="174">
        <v>0</v>
      </c>
      <c r="I21" s="174">
        <v>0</v>
      </c>
      <c r="J21" s="174">
        <v>0</v>
      </c>
      <c r="K21" s="174">
        <v>0</v>
      </c>
      <c r="L21" s="174">
        <v>0</v>
      </c>
      <c r="M21" s="174">
        <v>0</v>
      </c>
      <c r="N21" s="174">
        <v>0</v>
      </c>
      <c r="O21" s="174">
        <v>0</v>
      </c>
      <c r="P21" s="174">
        <v>0</v>
      </c>
      <c r="Q21" s="174">
        <v>0</v>
      </c>
      <c r="R21" s="174">
        <v>0</v>
      </c>
      <c r="S21" s="174">
        <v>0</v>
      </c>
      <c r="T21" s="174">
        <v>0</v>
      </c>
      <c r="U21" s="174">
        <v>0</v>
      </c>
      <c r="V21" s="174">
        <v>0</v>
      </c>
      <c r="W21" s="174">
        <f t="shared" si="1"/>
        <v>7</v>
      </c>
      <c r="X21" s="175">
        <v>2</v>
      </c>
    </row>
    <row r="22" spans="1:24" ht="19.5">
      <c r="A22" s="194">
        <v>5</v>
      </c>
      <c r="B22" s="213">
        <v>6</v>
      </c>
      <c r="C22" s="207" t="s">
        <v>10</v>
      </c>
      <c r="D22" s="183">
        <f t="shared" si="0"/>
        <v>4.5</v>
      </c>
      <c r="E22" s="315">
        <v>0</v>
      </c>
      <c r="F22" s="315">
        <v>1</v>
      </c>
      <c r="G22" s="315">
        <v>0</v>
      </c>
      <c r="H22" s="315">
        <v>0</v>
      </c>
      <c r="I22" s="315">
        <v>0</v>
      </c>
      <c r="J22" s="315">
        <v>0</v>
      </c>
      <c r="K22" s="315">
        <v>0</v>
      </c>
      <c r="L22" s="315">
        <v>0</v>
      </c>
      <c r="M22" s="315">
        <v>0</v>
      </c>
      <c r="N22" s="315">
        <v>0</v>
      </c>
      <c r="O22" s="315">
        <v>0</v>
      </c>
      <c r="P22" s="315">
        <v>0</v>
      </c>
      <c r="Q22" s="315">
        <v>0</v>
      </c>
      <c r="R22" s="315">
        <v>0</v>
      </c>
      <c r="S22" s="315">
        <v>0</v>
      </c>
      <c r="T22" s="315">
        <v>0</v>
      </c>
      <c r="U22" s="315">
        <v>0</v>
      </c>
      <c r="V22" s="315">
        <v>0</v>
      </c>
      <c r="W22" s="174">
        <f t="shared" si="1"/>
        <v>1</v>
      </c>
      <c r="X22" s="175">
        <v>2</v>
      </c>
    </row>
    <row r="23" spans="1:24" ht="19.5">
      <c r="A23" s="195">
        <v>6</v>
      </c>
      <c r="B23" s="214">
        <v>4</v>
      </c>
      <c r="C23" s="206" t="s">
        <v>52</v>
      </c>
      <c r="D23" s="183">
        <f t="shared" si="0"/>
        <v>3.25</v>
      </c>
      <c r="E23" s="174">
        <v>0.75</v>
      </c>
      <c r="F23" s="174">
        <v>0.25</v>
      </c>
      <c r="G23" s="174">
        <v>0</v>
      </c>
      <c r="H23" s="174">
        <v>0</v>
      </c>
      <c r="I23" s="174">
        <v>0</v>
      </c>
      <c r="J23" s="174">
        <v>0</v>
      </c>
      <c r="K23" s="174">
        <v>0</v>
      </c>
      <c r="L23" s="174">
        <v>0</v>
      </c>
      <c r="M23" s="174">
        <v>0</v>
      </c>
      <c r="N23" s="174">
        <v>0</v>
      </c>
      <c r="O23" s="174">
        <v>0</v>
      </c>
      <c r="P23" s="174">
        <v>0</v>
      </c>
      <c r="Q23" s="174">
        <v>0</v>
      </c>
      <c r="R23" s="174">
        <v>0</v>
      </c>
      <c r="S23" s="174">
        <v>0</v>
      </c>
      <c r="T23" s="174">
        <v>0</v>
      </c>
      <c r="U23" s="174">
        <v>0</v>
      </c>
      <c r="V23" s="174">
        <v>0</v>
      </c>
      <c r="W23" s="174">
        <f t="shared" si="1"/>
        <v>1</v>
      </c>
      <c r="X23" s="175">
        <v>2</v>
      </c>
    </row>
    <row r="24" spans="1:24" ht="19.5">
      <c r="A24" s="194">
        <v>7</v>
      </c>
      <c r="B24" s="209">
        <v>4</v>
      </c>
      <c r="C24" s="205" t="s">
        <v>121</v>
      </c>
      <c r="D24" s="183">
        <f t="shared" si="0"/>
        <v>1.5</v>
      </c>
      <c r="E24" s="174">
        <v>0.75</v>
      </c>
      <c r="F24" s="174">
        <v>0</v>
      </c>
      <c r="G24" s="174">
        <v>0</v>
      </c>
      <c r="H24" s="174">
        <v>0</v>
      </c>
      <c r="I24" s="174">
        <v>0</v>
      </c>
      <c r="J24" s="174">
        <v>0</v>
      </c>
      <c r="K24" s="174">
        <v>0</v>
      </c>
      <c r="L24" s="174">
        <v>0</v>
      </c>
      <c r="M24" s="174">
        <v>0</v>
      </c>
      <c r="N24" s="174">
        <v>0</v>
      </c>
      <c r="O24" s="174">
        <v>0</v>
      </c>
      <c r="P24" s="174">
        <v>0</v>
      </c>
      <c r="Q24" s="174">
        <v>0</v>
      </c>
      <c r="R24" s="174">
        <v>0</v>
      </c>
      <c r="S24" s="174">
        <v>0</v>
      </c>
      <c r="T24" s="174">
        <v>0</v>
      </c>
      <c r="U24" s="174">
        <v>0</v>
      </c>
      <c r="V24" s="174">
        <v>0</v>
      </c>
      <c r="W24" s="174">
        <f t="shared" si="1"/>
        <v>0.75</v>
      </c>
      <c r="X24" s="175">
        <v>2</v>
      </c>
    </row>
    <row r="25" spans="1:24" ht="20.25" thickBot="1">
      <c r="A25" s="188">
        <v>8</v>
      </c>
      <c r="B25" s="215">
        <v>6</v>
      </c>
      <c r="C25" s="208" t="s">
        <v>332</v>
      </c>
      <c r="D25" s="189">
        <f t="shared" si="0"/>
        <v>0.5</v>
      </c>
      <c r="E25" s="190">
        <v>0</v>
      </c>
      <c r="F25" s="190">
        <v>1.5</v>
      </c>
      <c r="G25" s="190">
        <v>0</v>
      </c>
      <c r="H25" s="190">
        <v>0</v>
      </c>
      <c r="I25" s="190">
        <v>0</v>
      </c>
      <c r="J25" s="190">
        <v>0</v>
      </c>
      <c r="K25" s="190">
        <v>0</v>
      </c>
      <c r="L25" s="190">
        <v>0</v>
      </c>
      <c r="M25" s="190">
        <v>0</v>
      </c>
      <c r="N25" s="190">
        <v>0</v>
      </c>
      <c r="O25" s="190">
        <v>0</v>
      </c>
      <c r="P25" s="190">
        <v>0</v>
      </c>
      <c r="Q25" s="190">
        <v>0</v>
      </c>
      <c r="R25" s="190">
        <v>0</v>
      </c>
      <c r="S25" s="190">
        <v>0</v>
      </c>
      <c r="T25" s="190">
        <v>0</v>
      </c>
      <c r="U25" s="190">
        <v>0</v>
      </c>
      <c r="V25" s="190">
        <v>0</v>
      </c>
      <c r="W25" s="190">
        <f t="shared" si="1"/>
        <v>1.5</v>
      </c>
      <c r="X25" s="191">
        <v>2</v>
      </c>
    </row>
    <row r="26" ht="15.75"/>
    <row r="27" spans="1:24" ht="15.75">
      <c r="A27" s="195"/>
      <c r="B27" s="195"/>
      <c r="C27" s="197"/>
      <c r="D27" s="632" t="s">
        <v>425</v>
      </c>
      <c r="E27" s="633"/>
      <c r="F27" s="633"/>
      <c r="G27" s="633"/>
      <c r="H27" s="633"/>
      <c r="I27" s="633"/>
      <c r="J27" s="633"/>
      <c r="K27" s="633"/>
      <c r="L27" s="633"/>
      <c r="M27" s="633"/>
      <c r="N27" s="633"/>
      <c r="O27" s="633"/>
      <c r="P27" s="633"/>
      <c r="Q27" s="633"/>
      <c r="R27" s="633"/>
      <c r="S27" s="633"/>
      <c r="T27" s="633"/>
      <c r="U27" s="633"/>
      <c r="V27" s="633"/>
      <c r="W27" s="633"/>
      <c r="X27" s="633"/>
    </row>
    <row r="28" spans="1:24" ht="15.75">
      <c r="A28" s="195"/>
      <c r="B28" s="195"/>
      <c r="C28" s="197"/>
      <c r="D28" s="633"/>
      <c r="E28" s="633"/>
      <c r="F28" s="633"/>
      <c r="G28" s="633"/>
      <c r="H28" s="633"/>
      <c r="I28" s="633"/>
      <c r="J28" s="633"/>
      <c r="K28" s="633"/>
      <c r="L28" s="633"/>
      <c r="M28" s="633"/>
      <c r="N28" s="633"/>
      <c r="O28" s="633"/>
      <c r="P28" s="633"/>
      <c r="Q28" s="633"/>
      <c r="R28" s="633"/>
      <c r="S28" s="633"/>
      <c r="T28" s="633"/>
      <c r="U28" s="633"/>
      <c r="V28" s="633"/>
      <c r="W28" s="633"/>
      <c r="X28" s="633"/>
    </row>
    <row r="29" spans="1:24" ht="15.75">
      <c r="A29" s="195"/>
      <c r="B29" s="195"/>
      <c r="C29" s="197"/>
      <c r="D29" s="181" t="s">
        <v>329</v>
      </c>
      <c r="E29" s="170">
        <v>1</v>
      </c>
      <c r="F29" s="170">
        <v>2</v>
      </c>
      <c r="G29" s="170">
        <v>3</v>
      </c>
      <c r="H29" s="170">
        <v>4</v>
      </c>
      <c r="I29" s="170">
        <v>5</v>
      </c>
      <c r="J29" s="170">
        <v>6</v>
      </c>
      <c r="K29" s="170">
        <v>7</v>
      </c>
      <c r="L29" s="170">
        <v>8</v>
      </c>
      <c r="M29" s="170">
        <v>9</v>
      </c>
      <c r="N29" s="170">
        <v>10</v>
      </c>
      <c r="O29" s="170">
        <v>11</v>
      </c>
      <c r="P29" s="170">
        <v>12</v>
      </c>
      <c r="Q29" s="170">
        <v>13</v>
      </c>
      <c r="R29" s="170">
        <v>14</v>
      </c>
      <c r="S29" s="170">
        <v>15</v>
      </c>
      <c r="T29" s="170">
        <v>16</v>
      </c>
      <c r="U29" s="170">
        <v>17</v>
      </c>
      <c r="V29" s="170">
        <v>18</v>
      </c>
      <c r="W29" s="171" t="s">
        <v>310</v>
      </c>
      <c r="X29" s="172"/>
    </row>
    <row r="30" spans="1:24" ht="16.5" thickBot="1">
      <c r="A30" s="198"/>
      <c r="B30" s="198"/>
      <c r="C30" s="199"/>
      <c r="D30" s="185" t="s">
        <v>331</v>
      </c>
      <c r="E30" s="200">
        <v>0.75</v>
      </c>
      <c r="F30" s="200">
        <v>0.25</v>
      </c>
      <c r="G30" s="200">
        <v>3</v>
      </c>
      <c r="H30" s="200">
        <v>2</v>
      </c>
      <c r="I30" s="200">
        <v>0.75</v>
      </c>
      <c r="J30" s="200">
        <v>-3</v>
      </c>
      <c r="K30" s="200">
        <v>-4</v>
      </c>
      <c r="L30" s="200">
        <v>20</v>
      </c>
      <c r="M30" s="200">
        <v>10</v>
      </c>
      <c r="N30" s="200">
        <v>5</v>
      </c>
      <c r="O30" s="200">
        <v>3</v>
      </c>
      <c r="P30" s="200">
        <v>5</v>
      </c>
      <c r="Q30" s="200">
        <v>7</v>
      </c>
      <c r="R30" s="200">
        <v>3</v>
      </c>
      <c r="S30" s="200">
        <v>3</v>
      </c>
      <c r="T30" s="200">
        <v>3</v>
      </c>
      <c r="U30" s="200">
        <v>8.25</v>
      </c>
      <c r="V30" s="200">
        <v>16</v>
      </c>
      <c r="W30" s="186" t="s">
        <v>330</v>
      </c>
      <c r="X30" s="187" t="s">
        <v>310</v>
      </c>
    </row>
    <row r="31" spans="1:24" ht="19.5">
      <c r="A31" s="194">
        <v>1</v>
      </c>
      <c r="B31" s="211">
        <v>5</v>
      </c>
      <c r="C31" s="201" t="s">
        <v>333</v>
      </c>
      <c r="D31" s="325">
        <v>55.25</v>
      </c>
      <c r="E31" s="174">
        <v>6.75</v>
      </c>
      <c r="F31" s="174">
        <v>4.25</v>
      </c>
      <c r="G31" s="174">
        <v>0</v>
      </c>
      <c r="H31" s="174">
        <v>0</v>
      </c>
      <c r="I31" s="174">
        <v>0.75</v>
      </c>
      <c r="J31" s="174">
        <v>0</v>
      </c>
      <c r="K31" s="174">
        <v>0</v>
      </c>
      <c r="L31" s="174">
        <v>0</v>
      </c>
      <c r="M31" s="174">
        <v>0</v>
      </c>
      <c r="N31" s="174">
        <v>0</v>
      </c>
      <c r="O31" s="174">
        <v>0</v>
      </c>
      <c r="P31" s="174">
        <v>0</v>
      </c>
      <c r="Q31" s="174">
        <v>7</v>
      </c>
      <c r="R31" s="174">
        <v>0</v>
      </c>
      <c r="S31" s="174">
        <v>0</v>
      </c>
      <c r="T31" s="174">
        <v>0</v>
      </c>
      <c r="U31" s="174">
        <v>0</v>
      </c>
      <c r="V31" s="174">
        <v>0</v>
      </c>
      <c r="W31" s="174">
        <f>SUM(E31:V31)</f>
        <v>18.75</v>
      </c>
      <c r="X31" s="175">
        <v>3</v>
      </c>
    </row>
    <row r="32" spans="1:24" ht="19.5">
      <c r="A32" s="180">
        <v>2</v>
      </c>
      <c r="B32" s="318">
        <v>6</v>
      </c>
      <c r="C32" s="206" t="s">
        <v>8</v>
      </c>
      <c r="D32" s="325">
        <v>50</v>
      </c>
      <c r="E32" s="174">
        <v>1.5</v>
      </c>
      <c r="F32" s="174">
        <v>1</v>
      </c>
      <c r="G32" s="174">
        <v>0</v>
      </c>
      <c r="H32" s="174">
        <v>0</v>
      </c>
      <c r="I32" s="174">
        <v>0</v>
      </c>
      <c r="J32" s="174">
        <v>0</v>
      </c>
      <c r="K32" s="174">
        <v>0</v>
      </c>
      <c r="L32" s="174">
        <v>0</v>
      </c>
      <c r="M32" s="174">
        <v>0</v>
      </c>
      <c r="N32" s="174">
        <v>0</v>
      </c>
      <c r="O32" s="174">
        <v>0</v>
      </c>
      <c r="P32" s="174">
        <v>5</v>
      </c>
      <c r="Q32" s="174">
        <v>0</v>
      </c>
      <c r="R32" s="174">
        <v>0</v>
      </c>
      <c r="S32" s="174">
        <v>0</v>
      </c>
      <c r="T32" s="174">
        <v>3</v>
      </c>
      <c r="U32" s="174">
        <v>0</v>
      </c>
      <c r="V32" s="174">
        <v>0</v>
      </c>
      <c r="W32" s="174">
        <f aca="true" t="shared" si="2" ref="W32:W39">SUM(E32:V32)</f>
        <v>10.5</v>
      </c>
      <c r="X32" s="175">
        <v>3</v>
      </c>
    </row>
    <row r="33" spans="1:24" ht="19.5">
      <c r="A33" s="194">
        <v>3</v>
      </c>
      <c r="B33" s="209">
        <v>4</v>
      </c>
      <c r="C33" s="205" t="s">
        <v>12</v>
      </c>
      <c r="D33" s="325">
        <v>36.75</v>
      </c>
      <c r="E33" s="174">
        <v>1.5</v>
      </c>
      <c r="F33" s="174">
        <v>2</v>
      </c>
      <c r="G33" s="174">
        <v>0</v>
      </c>
      <c r="H33" s="174">
        <v>2</v>
      </c>
      <c r="I33" s="174">
        <v>0</v>
      </c>
      <c r="J33" s="174">
        <v>0</v>
      </c>
      <c r="K33" s="174">
        <v>0</v>
      </c>
      <c r="L33" s="174">
        <v>0</v>
      </c>
      <c r="M33" s="174">
        <v>0</v>
      </c>
      <c r="N33" s="174">
        <v>0</v>
      </c>
      <c r="O33" s="174">
        <v>3</v>
      </c>
      <c r="P33" s="174">
        <v>0</v>
      </c>
      <c r="Q33" s="174">
        <v>0</v>
      </c>
      <c r="R33" s="174">
        <v>3</v>
      </c>
      <c r="S33" s="174">
        <v>3</v>
      </c>
      <c r="T33" s="174">
        <v>0</v>
      </c>
      <c r="U33" s="174">
        <v>0</v>
      </c>
      <c r="V33" s="174">
        <v>0</v>
      </c>
      <c r="W33" s="174">
        <f t="shared" si="2"/>
        <v>14.5</v>
      </c>
      <c r="X33" s="175">
        <v>3</v>
      </c>
    </row>
    <row r="34" spans="1:24" ht="19.5">
      <c r="A34" s="180">
        <v>4</v>
      </c>
      <c r="B34" s="214">
        <v>4</v>
      </c>
      <c r="C34" s="206" t="s">
        <v>53</v>
      </c>
      <c r="D34" s="325">
        <v>13.75</v>
      </c>
      <c r="E34" s="174">
        <v>3</v>
      </c>
      <c r="F34" s="174">
        <v>0.25</v>
      </c>
      <c r="G34" s="174">
        <v>0</v>
      </c>
      <c r="H34" s="174">
        <v>0</v>
      </c>
      <c r="I34" s="174">
        <v>0</v>
      </c>
      <c r="J34" s="174">
        <v>0</v>
      </c>
      <c r="K34" s="174">
        <v>0</v>
      </c>
      <c r="L34" s="174">
        <v>0</v>
      </c>
      <c r="M34" s="174">
        <v>0</v>
      </c>
      <c r="N34" s="174">
        <v>0</v>
      </c>
      <c r="O34" s="174">
        <v>0</v>
      </c>
      <c r="P34" s="174">
        <v>0</v>
      </c>
      <c r="Q34" s="174">
        <v>0</v>
      </c>
      <c r="R34" s="174">
        <v>0</v>
      </c>
      <c r="S34" s="174">
        <v>0</v>
      </c>
      <c r="T34" s="174">
        <v>0</v>
      </c>
      <c r="U34" s="174">
        <v>0</v>
      </c>
      <c r="V34" s="174">
        <v>0</v>
      </c>
      <c r="W34" s="174">
        <f t="shared" si="2"/>
        <v>3.25</v>
      </c>
      <c r="X34" s="175">
        <v>3</v>
      </c>
    </row>
    <row r="35" spans="1:24" ht="19.5">
      <c r="A35" s="194">
        <v>5</v>
      </c>
      <c r="B35" s="209">
        <v>4</v>
      </c>
      <c r="C35" s="207" t="s">
        <v>10</v>
      </c>
      <c r="D35" s="325">
        <v>11.5</v>
      </c>
      <c r="E35" s="315">
        <v>0.75</v>
      </c>
      <c r="F35" s="315">
        <v>1</v>
      </c>
      <c r="G35" s="315">
        <v>0</v>
      </c>
      <c r="H35" s="315">
        <v>2</v>
      </c>
      <c r="I35" s="315">
        <v>0</v>
      </c>
      <c r="J35" s="315">
        <v>0</v>
      </c>
      <c r="K35" s="315">
        <v>0</v>
      </c>
      <c r="L35" s="315">
        <v>0</v>
      </c>
      <c r="M35" s="315">
        <v>0</v>
      </c>
      <c r="N35" s="315">
        <v>0</v>
      </c>
      <c r="O35" s="315">
        <v>0</v>
      </c>
      <c r="P35" s="315">
        <v>0</v>
      </c>
      <c r="Q35" s="315">
        <v>0</v>
      </c>
      <c r="R35" s="315">
        <v>0</v>
      </c>
      <c r="S35" s="315">
        <v>0</v>
      </c>
      <c r="T35" s="315">
        <v>0</v>
      </c>
      <c r="U35" s="315">
        <v>0</v>
      </c>
      <c r="V35" s="315">
        <v>0</v>
      </c>
      <c r="W35" s="174">
        <f t="shared" si="2"/>
        <v>3.75</v>
      </c>
      <c r="X35" s="175">
        <v>3</v>
      </c>
    </row>
    <row r="36" spans="1:24" ht="19.5">
      <c r="A36" s="195">
        <v>6</v>
      </c>
      <c r="B36" s="214">
        <v>4</v>
      </c>
      <c r="C36" s="206" t="s">
        <v>52</v>
      </c>
      <c r="D36" s="325">
        <v>8</v>
      </c>
      <c r="E36" s="174">
        <v>1.5</v>
      </c>
      <c r="F36" s="174">
        <v>0.25</v>
      </c>
      <c r="G36" s="174">
        <v>3</v>
      </c>
      <c r="H36" s="174">
        <v>0</v>
      </c>
      <c r="I36" s="174">
        <v>0</v>
      </c>
      <c r="J36" s="174">
        <v>0</v>
      </c>
      <c r="K36" s="174">
        <v>0</v>
      </c>
      <c r="L36" s="174">
        <v>0</v>
      </c>
      <c r="M36" s="174">
        <v>0</v>
      </c>
      <c r="N36" s="174">
        <v>0</v>
      </c>
      <c r="O36" s="174">
        <v>0</v>
      </c>
      <c r="P36" s="174">
        <v>0</v>
      </c>
      <c r="Q36" s="174">
        <v>0</v>
      </c>
      <c r="R36" s="174">
        <v>0</v>
      </c>
      <c r="S36" s="174">
        <v>0</v>
      </c>
      <c r="T36" s="174">
        <v>0</v>
      </c>
      <c r="U36" s="174">
        <v>0</v>
      </c>
      <c r="V36" s="174">
        <v>0</v>
      </c>
      <c r="W36" s="174">
        <f t="shared" si="2"/>
        <v>4.75</v>
      </c>
      <c r="X36" s="175">
        <v>3</v>
      </c>
    </row>
    <row r="37" spans="1:24" ht="19.5">
      <c r="A37" s="194">
        <v>7</v>
      </c>
      <c r="B37" s="211">
        <v>5</v>
      </c>
      <c r="C37" s="205" t="s">
        <v>332</v>
      </c>
      <c r="D37" s="325">
        <v>3.25</v>
      </c>
      <c r="E37" s="174">
        <v>0</v>
      </c>
      <c r="F37" s="174">
        <v>0.75</v>
      </c>
      <c r="G37" s="174">
        <v>0</v>
      </c>
      <c r="H37" s="174">
        <v>2</v>
      </c>
      <c r="I37" s="174">
        <v>0</v>
      </c>
      <c r="J37" s="174">
        <v>0</v>
      </c>
      <c r="K37" s="174">
        <v>0</v>
      </c>
      <c r="L37" s="174">
        <v>0</v>
      </c>
      <c r="M37" s="174">
        <v>0</v>
      </c>
      <c r="N37" s="174">
        <v>0</v>
      </c>
      <c r="O37" s="174">
        <v>0</v>
      </c>
      <c r="P37" s="174">
        <v>0</v>
      </c>
      <c r="Q37" s="174">
        <v>0</v>
      </c>
      <c r="R37" s="174">
        <v>0</v>
      </c>
      <c r="S37" s="174">
        <v>0</v>
      </c>
      <c r="T37" s="174">
        <v>0</v>
      </c>
      <c r="U37" s="174">
        <v>0</v>
      </c>
      <c r="V37" s="174">
        <v>0</v>
      </c>
      <c r="W37" s="174">
        <f t="shared" si="2"/>
        <v>2.75</v>
      </c>
      <c r="X37" s="175">
        <v>3</v>
      </c>
    </row>
    <row r="38" spans="1:24" ht="19.5">
      <c r="A38" s="319">
        <v>8</v>
      </c>
      <c r="B38" s="318">
        <v>6</v>
      </c>
      <c r="C38" s="320" t="s">
        <v>121</v>
      </c>
      <c r="D38" s="325">
        <v>2.25</v>
      </c>
      <c r="E38" s="176">
        <v>0.75</v>
      </c>
      <c r="F38" s="176">
        <v>0</v>
      </c>
      <c r="G38" s="176">
        <v>0</v>
      </c>
      <c r="H38" s="176">
        <v>0</v>
      </c>
      <c r="I38" s="176">
        <v>0</v>
      </c>
      <c r="J38" s="176">
        <v>0</v>
      </c>
      <c r="K38" s="176">
        <v>0</v>
      </c>
      <c r="L38" s="176">
        <v>0</v>
      </c>
      <c r="M38" s="176">
        <v>0</v>
      </c>
      <c r="N38" s="176">
        <v>0</v>
      </c>
      <c r="O38" s="176">
        <v>0</v>
      </c>
      <c r="P38" s="176">
        <v>0</v>
      </c>
      <c r="Q38" s="176">
        <v>0</v>
      </c>
      <c r="R38" s="176">
        <v>0</v>
      </c>
      <c r="S38" s="176">
        <v>0</v>
      </c>
      <c r="T38" s="176">
        <v>0</v>
      </c>
      <c r="U38" s="176">
        <v>0</v>
      </c>
      <c r="V38" s="176">
        <v>0</v>
      </c>
      <c r="W38" s="174">
        <f t="shared" si="2"/>
        <v>0.75</v>
      </c>
      <c r="X38" s="321">
        <v>3</v>
      </c>
    </row>
    <row r="39" spans="1:24" ht="20.25" thickBot="1">
      <c r="A39" s="326">
        <v>9</v>
      </c>
      <c r="B39" s="316"/>
      <c r="C39" s="317" t="s">
        <v>386</v>
      </c>
      <c r="D39" s="327">
        <v>2.25</v>
      </c>
      <c r="E39" s="328">
        <v>0</v>
      </c>
      <c r="F39" s="328">
        <v>0.25</v>
      </c>
      <c r="G39" s="328">
        <v>0</v>
      </c>
      <c r="H39" s="328">
        <v>2</v>
      </c>
      <c r="I39" s="328">
        <v>0</v>
      </c>
      <c r="J39" s="328">
        <v>0</v>
      </c>
      <c r="K39" s="328">
        <v>0</v>
      </c>
      <c r="L39" s="328">
        <v>0</v>
      </c>
      <c r="M39" s="328">
        <v>0</v>
      </c>
      <c r="N39" s="328">
        <v>0</v>
      </c>
      <c r="O39" s="328">
        <v>0</v>
      </c>
      <c r="P39" s="328">
        <v>0</v>
      </c>
      <c r="Q39" s="328">
        <v>0</v>
      </c>
      <c r="R39" s="328">
        <v>0</v>
      </c>
      <c r="S39" s="328">
        <v>0</v>
      </c>
      <c r="T39" s="328">
        <v>0</v>
      </c>
      <c r="U39" s="328">
        <v>0</v>
      </c>
      <c r="V39" s="328">
        <v>0</v>
      </c>
      <c r="W39" s="190">
        <f t="shared" si="2"/>
        <v>2.25</v>
      </c>
      <c r="X39" s="329">
        <v>3</v>
      </c>
    </row>
    <row r="40" spans="1:24" ht="15.75">
      <c r="A40" s="319"/>
      <c r="B40" s="319"/>
      <c r="C40" s="322"/>
      <c r="D40" s="323"/>
      <c r="E40" s="324"/>
      <c r="F40" s="324"/>
      <c r="G40" s="324"/>
      <c r="H40" s="324"/>
      <c r="I40" s="324"/>
      <c r="J40" s="324"/>
      <c r="K40" s="324"/>
      <c r="L40" s="324"/>
      <c r="M40" s="324"/>
      <c r="N40" s="324"/>
      <c r="O40" s="324"/>
      <c r="P40" s="324"/>
      <c r="Q40" s="324"/>
      <c r="R40" s="324"/>
      <c r="S40" s="324"/>
      <c r="T40" s="324"/>
      <c r="U40" s="324"/>
      <c r="V40" s="324"/>
      <c r="W40" s="324"/>
      <c r="X40" s="324"/>
    </row>
    <row r="41" spans="1:24" ht="15.75">
      <c r="A41" s="195"/>
      <c r="B41" s="195"/>
      <c r="C41" s="197"/>
      <c r="D41" s="632" t="s">
        <v>424</v>
      </c>
      <c r="E41" s="633"/>
      <c r="F41" s="633"/>
      <c r="G41" s="633"/>
      <c r="H41" s="633"/>
      <c r="I41" s="633"/>
      <c r="J41" s="633"/>
      <c r="K41" s="633"/>
      <c r="L41" s="633"/>
      <c r="M41" s="633"/>
      <c r="N41" s="633"/>
      <c r="O41" s="633"/>
      <c r="P41" s="633"/>
      <c r="Q41" s="633"/>
      <c r="R41" s="633"/>
      <c r="S41" s="633"/>
      <c r="T41" s="633"/>
      <c r="U41" s="633"/>
      <c r="V41" s="633"/>
      <c r="W41" s="633"/>
      <c r="X41" s="633"/>
    </row>
    <row r="42" spans="1:24" ht="15.75">
      <c r="A42" s="195"/>
      <c r="B42" s="195"/>
      <c r="C42" s="197"/>
      <c r="D42" s="633"/>
      <c r="E42" s="633"/>
      <c r="F42" s="633"/>
      <c r="G42" s="633"/>
      <c r="H42" s="633"/>
      <c r="I42" s="633"/>
      <c r="J42" s="633"/>
      <c r="K42" s="633"/>
      <c r="L42" s="633"/>
      <c r="M42" s="633"/>
      <c r="N42" s="633"/>
      <c r="O42" s="633"/>
      <c r="P42" s="633"/>
      <c r="Q42" s="633"/>
      <c r="R42" s="633"/>
      <c r="S42" s="633"/>
      <c r="T42" s="633"/>
      <c r="U42" s="633"/>
      <c r="V42" s="633"/>
      <c r="W42" s="633"/>
      <c r="X42" s="633"/>
    </row>
    <row r="43" spans="1:24" ht="15.75">
      <c r="A43" s="195"/>
      <c r="B43" s="195"/>
      <c r="C43" s="197"/>
      <c r="D43" s="181" t="s">
        <v>329</v>
      </c>
      <c r="E43" s="170">
        <v>1</v>
      </c>
      <c r="F43" s="170">
        <v>2</v>
      </c>
      <c r="G43" s="170">
        <v>3</v>
      </c>
      <c r="H43" s="170">
        <v>4</v>
      </c>
      <c r="I43" s="170">
        <v>5</v>
      </c>
      <c r="J43" s="170">
        <v>6</v>
      </c>
      <c r="K43" s="170">
        <v>7</v>
      </c>
      <c r="L43" s="170">
        <v>8</v>
      </c>
      <c r="M43" s="170">
        <v>9</v>
      </c>
      <c r="N43" s="170">
        <v>10</v>
      </c>
      <c r="O43" s="170">
        <v>11</v>
      </c>
      <c r="P43" s="170">
        <v>12</v>
      </c>
      <c r="Q43" s="170">
        <v>13</v>
      </c>
      <c r="R43" s="170">
        <v>14</v>
      </c>
      <c r="S43" s="170">
        <v>15</v>
      </c>
      <c r="T43" s="170">
        <v>16</v>
      </c>
      <c r="U43" s="170">
        <v>17</v>
      </c>
      <c r="V43" s="170">
        <v>18</v>
      </c>
      <c r="W43" s="171" t="s">
        <v>310</v>
      </c>
      <c r="X43" s="172"/>
    </row>
    <row r="44" spans="1:24" ht="16.5" thickBot="1">
      <c r="A44" s="198"/>
      <c r="B44" s="198"/>
      <c r="C44" s="199"/>
      <c r="D44" s="185" t="s">
        <v>331</v>
      </c>
      <c r="E44" s="200">
        <v>0.75</v>
      </c>
      <c r="F44" s="200">
        <v>0.25</v>
      </c>
      <c r="G44" s="200">
        <v>3</v>
      </c>
      <c r="H44" s="200">
        <v>2</v>
      </c>
      <c r="I44" s="200">
        <v>0.75</v>
      </c>
      <c r="J44" s="200">
        <v>-3</v>
      </c>
      <c r="K44" s="200">
        <v>-4</v>
      </c>
      <c r="L44" s="200">
        <v>20</v>
      </c>
      <c r="M44" s="200">
        <v>10</v>
      </c>
      <c r="N44" s="200">
        <v>5</v>
      </c>
      <c r="O44" s="200">
        <v>3</v>
      </c>
      <c r="P44" s="200">
        <v>5</v>
      </c>
      <c r="Q44" s="200">
        <v>7</v>
      </c>
      <c r="R44" s="200">
        <v>3</v>
      </c>
      <c r="S44" s="200">
        <v>3</v>
      </c>
      <c r="T44" s="200">
        <v>3</v>
      </c>
      <c r="U44" s="200">
        <v>8.25</v>
      </c>
      <c r="V44" s="200">
        <v>16</v>
      </c>
      <c r="W44" s="186" t="s">
        <v>330</v>
      </c>
      <c r="X44" s="187" t="s">
        <v>310</v>
      </c>
    </row>
    <row r="45" spans="1:24" ht="19.5">
      <c r="A45" s="194">
        <v>1</v>
      </c>
      <c r="B45" s="211">
        <v>5</v>
      </c>
      <c r="C45" s="201" t="s">
        <v>333</v>
      </c>
      <c r="D45" s="325">
        <v>68</v>
      </c>
      <c r="E45" s="174">
        <v>3.75</v>
      </c>
      <c r="F45" s="174">
        <v>6.25</v>
      </c>
      <c r="G45" s="174">
        <v>0</v>
      </c>
      <c r="H45" s="174">
        <v>2</v>
      </c>
      <c r="I45" s="174">
        <v>0.75</v>
      </c>
      <c r="J45" s="174">
        <v>0</v>
      </c>
      <c r="K45" s="174">
        <v>0</v>
      </c>
      <c r="L45" s="174"/>
      <c r="M45" s="174"/>
      <c r="N45" s="174"/>
      <c r="O45" s="174"/>
      <c r="P45" s="174"/>
      <c r="Q45" s="174"/>
      <c r="R45" s="174"/>
      <c r="S45" s="174"/>
      <c r="T45" s="174"/>
      <c r="U45" s="174"/>
      <c r="V45" s="174"/>
      <c r="W45" s="174">
        <f>SUM(E45:V45)</f>
        <v>12.75</v>
      </c>
      <c r="X45" s="175">
        <v>4</v>
      </c>
    </row>
    <row r="46" spans="1:24" ht="19.5">
      <c r="A46" s="180">
        <v>2</v>
      </c>
      <c r="B46" s="318">
        <v>6</v>
      </c>
      <c r="C46" s="206" t="s">
        <v>8</v>
      </c>
      <c r="D46" s="325">
        <v>52.75</v>
      </c>
      <c r="E46" s="174">
        <v>1.5</v>
      </c>
      <c r="F46" s="174">
        <v>1.25</v>
      </c>
      <c r="G46" s="174">
        <v>0</v>
      </c>
      <c r="H46" s="174">
        <v>0</v>
      </c>
      <c r="I46" s="174">
        <v>0</v>
      </c>
      <c r="J46" s="174">
        <v>0</v>
      </c>
      <c r="K46" s="174">
        <v>0</v>
      </c>
      <c r="L46" s="174"/>
      <c r="M46" s="174"/>
      <c r="N46" s="174"/>
      <c r="O46" s="174"/>
      <c r="P46" s="174"/>
      <c r="Q46" s="174"/>
      <c r="R46" s="174"/>
      <c r="S46" s="174"/>
      <c r="T46" s="174"/>
      <c r="U46" s="174"/>
      <c r="V46" s="174"/>
      <c r="W46" s="174">
        <f aca="true" t="shared" si="3" ref="W46:W53">SUM(E46:V46)</f>
        <v>2.75</v>
      </c>
      <c r="X46" s="175">
        <v>4</v>
      </c>
    </row>
    <row r="47" spans="1:24" ht="19.5">
      <c r="A47" s="194">
        <v>3</v>
      </c>
      <c r="B47" s="209">
        <v>4</v>
      </c>
      <c r="C47" s="205" t="s">
        <v>12</v>
      </c>
      <c r="D47" s="325">
        <v>41.75</v>
      </c>
      <c r="E47" s="174">
        <v>1.5</v>
      </c>
      <c r="F47" s="174">
        <v>1.5</v>
      </c>
      <c r="G47" s="174">
        <v>0</v>
      </c>
      <c r="H47" s="174">
        <v>2</v>
      </c>
      <c r="I47" s="174">
        <v>0</v>
      </c>
      <c r="J47" s="174">
        <v>0</v>
      </c>
      <c r="K47" s="174">
        <v>0</v>
      </c>
      <c r="L47" s="174"/>
      <c r="M47" s="174"/>
      <c r="N47" s="174"/>
      <c r="O47" s="174"/>
      <c r="P47" s="174"/>
      <c r="Q47" s="174"/>
      <c r="R47" s="174"/>
      <c r="S47" s="174"/>
      <c r="T47" s="174"/>
      <c r="U47" s="174"/>
      <c r="V47" s="174"/>
      <c r="W47" s="174">
        <f t="shared" si="3"/>
        <v>5</v>
      </c>
      <c r="X47" s="175">
        <v>4</v>
      </c>
    </row>
    <row r="48" spans="1:24" ht="19.5">
      <c r="A48" s="180">
        <v>4</v>
      </c>
      <c r="B48" s="214">
        <v>4</v>
      </c>
      <c r="C48" s="206" t="s">
        <v>53</v>
      </c>
      <c r="D48" s="325">
        <v>17</v>
      </c>
      <c r="E48" s="174">
        <v>3</v>
      </c>
      <c r="F48" s="174">
        <v>0.25</v>
      </c>
      <c r="G48" s="174">
        <v>0</v>
      </c>
      <c r="H48" s="174">
        <v>0</v>
      </c>
      <c r="I48" s="174">
        <v>0</v>
      </c>
      <c r="J48" s="174">
        <v>0</v>
      </c>
      <c r="K48" s="174">
        <v>0</v>
      </c>
      <c r="L48" s="174"/>
      <c r="M48" s="174"/>
      <c r="N48" s="174"/>
      <c r="O48" s="174"/>
      <c r="P48" s="174"/>
      <c r="Q48" s="174"/>
      <c r="R48" s="174"/>
      <c r="S48" s="174"/>
      <c r="T48" s="174"/>
      <c r="U48" s="174"/>
      <c r="V48" s="174"/>
      <c r="W48" s="174">
        <f t="shared" si="3"/>
        <v>3.25</v>
      </c>
      <c r="X48" s="175">
        <v>4</v>
      </c>
    </row>
    <row r="49" spans="1:24" ht="19.5">
      <c r="A49" s="194">
        <v>5</v>
      </c>
      <c r="B49" s="209">
        <v>4</v>
      </c>
      <c r="C49" s="207" t="s">
        <v>10</v>
      </c>
      <c r="D49" s="325">
        <v>15.5</v>
      </c>
      <c r="E49" s="315">
        <v>0.75</v>
      </c>
      <c r="F49" s="315">
        <v>1.25</v>
      </c>
      <c r="G49" s="315">
        <v>0</v>
      </c>
      <c r="H49" s="315">
        <v>2</v>
      </c>
      <c r="I49" s="315">
        <v>0</v>
      </c>
      <c r="J49" s="315">
        <v>0</v>
      </c>
      <c r="K49" s="315">
        <v>0</v>
      </c>
      <c r="L49" s="315"/>
      <c r="M49" s="315"/>
      <c r="N49" s="315"/>
      <c r="O49" s="315"/>
      <c r="P49" s="315"/>
      <c r="Q49" s="315"/>
      <c r="R49" s="315"/>
      <c r="S49" s="315"/>
      <c r="T49" s="315"/>
      <c r="U49" s="315"/>
      <c r="V49" s="315"/>
      <c r="W49" s="174">
        <f t="shared" si="3"/>
        <v>4</v>
      </c>
      <c r="X49" s="175">
        <v>4</v>
      </c>
    </row>
    <row r="50" spans="1:24" ht="19.5">
      <c r="A50" s="195">
        <v>6</v>
      </c>
      <c r="B50" s="214">
        <v>4</v>
      </c>
      <c r="C50" s="206" t="s">
        <v>52</v>
      </c>
      <c r="D50" s="325">
        <v>8.75</v>
      </c>
      <c r="E50" s="174">
        <v>0.75</v>
      </c>
      <c r="F50" s="174">
        <v>0</v>
      </c>
      <c r="G50" s="174">
        <v>0</v>
      </c>
      <c r="H50" s="174">
        <v>0</v>
      </c>
      <c r="I50" s="174">
        <v>0</v>
      </c>
      <c r="J50" s="174">
        <v>0</v>
      </c>
      <c r="K50" s="174">
        <v>0</v>
      </c>
      <c r="L50" s="174"/>
      <c r="M50" s="174"/>
      <c r="N50" s="174"/>
      <c r="O50" s="174"/>
      <c r="P50" s="174"/>
      <c r="Q50" s="174"/>
      <c r="R50" s="174"/>
      <c r="S50" s="174"/>
      <c r="T50" s="174"/>
      <c r="U50" s="174"/>
      <c r="V50" s="174"/>
      <c r="W50" s="174">
        <f t="shared" si="3"/>
        <v>0.75</v>
      </c>
      <c r="X50" s="175">
        <v>4</v>
      </c>
    </row>
    <row r="51" spans="1:24" ht="19.5">
      <c r="A51" s="194">
        <v>7</v>
      </c>
      <c r="B51" s="211">
        <v>5</v>
      </c>
      <c r="C51" s="205" t="s">
        <v>332</v>
      </c>
      <c r="D51" s="325">
        <v>3.75</v>
      </c>
      <c r="E51" s="174">
        <v>0</v>
      </c>
      <c r="F51" s="174">
        <v>0.5</v>
      </c>
      <c r="G51" s="174">
        <v>0</v>
      </c>
      <c r="H51" s="174">
        <v>0</v>
      </c>
      <c r="I51" s="174">
        <v>0</v>
      </c>
      <c r="J51" s="174">
        <v>0</v>
      </c>
      <c r="K51" s="174">
        <v>0</v>
      </c>
      <c r="L51" s="174"/>
      <c r="M51" s="174"/>
      <c r="N51" s="174"/>
      <c r="O51" s="174"/>
      <c r="P51" s="174"/>
      <c r="Q51" s="174"/>
      <c r="R51" s="174"/>
      <c r="S51" s="174"/>
      <c r="T51" s="174"/>
      <c r="U51" s="174"/>
      <c r="V51" s="174"/>
      <c r="W51" s="174">
        <f t="shared" si="3"/>
        <v>0.5</v>
      </c>
      <c r="X51" s="175">
        <v>4</v>
      </c>
    </row>
    <row r="52" spans="1:24" ht="19.5">
      <c r="A52" s="445">
        <v>9</v>
      </c>
      <c r="B52" s="450">
        <v>5</v>
      </c>
      <c r="C52" s="320" t="s">
        <v>386</v>
      </c>
      <c r="D52" s="446">
        <v>2.5</v>
      </c>
      <c r="E52" s="447">
        <v>0</v>
      </c>
      <c r="F52" s="447">
        <v>0.25</v>
      </c>
      <c r="G52" s="447">
        <v>0</v>
      </c>
      <c r="H52" s="447">
        <v>0</v>
      </c>
      <c r="I52" s="447">
        <v>0</v>
      </c>
      <c r="J52" s="447">
        <v>0</v>
      </c>
      <c r="K52" s="447">
        <v>0</v>
      </c>
      <c r="L52" s="447"/>
      <c r="M52" s="447"/>
      <c r="N52" s="447"/>
      <c r="O52" s="447"/>
      <c r="P52" s="447"/>
      <c r="Q52" s="447"/>
      <c r="R52" s="447"/>
      <c r="S52" s="447"/>
      <c r="T52" s="447"/>
      <c r="U52" s="447"/>
      <c r="V52" s="447"/>
      <c r="W52" s="176">
        <f>SUM(E52:V52)</f>
        <v>0.25</v>
      </c>
      <c r="X52" s="448">
        <v>4</v>
      </c>
    </row>
    <row r="53" spans="1:24" ht="20.25" thickBot="1">
      <c r="A53" s="326">
        <v>8</v>
      </c>
      <c r="B53" s="449">
        <v>6</v>
      </c>
      <c r="C53" s="317" t="s">
        <v>121</v>
      </c>
      <c r="D53" s="327">
        <v>2.25</v>
      </c>
      <c r="E53" s="190">
        <v>0</v>
      </c>
      <c r="F53" s="190">
        <v>0</v>
      </c>
      <c r="G53" s="190">
        <v>0</v>
      </c>
      <c r="H53" s="190">
        <v>0</v>
      </c>
      <c r="I53" s="190">
        <v>0</v>
      </c>
      <c r="J53" s="190">
        <v>0</v>
      </c>
      <c r="K53" s="190">
        <v>0</v>
      </c>
      <c r="L53" s="190"/>
      <c r="M53" s="190"/>
      <c r="N53" s="190"/>
      <c r="O53" s="190"/>
      <c r="P53" s="190"/>
      <c r="Q53" s="190"/>
      <c r="R53" s="190"/>
      <c r="S53" s="190"/>
      <c r="T53" s="190"/>
      <c r="U53" s="190"/>
      <c r="V53" s="190"/>
      <c r="W53" s="190">
        <f t="shared" si="3"/>
        <v>0</v>
      </c>
      <c r="X53" s="191">
        <v>4</v>
      </c>
    </row>
  </sheetData>
  <sheetProtection/>
  <mergeCells count="4">
    <mergeCell ref="D1:X2"/>
    <mergeCell ref="D14:X15"/>
    <mergeCell ref="D27:X28"/>
    <mergeCell ref="D41:X42"/>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Q1"/>
    </sheetView>
  </sheetViews>
  <sheetFormatPr defaultColWidth="4.57421875" defaultRowHeight="12.75"/>
  <cols>
    <col min="1" max="1" width="4.421875" style="0" bestFit="1" customWidth="1"/>
    <col min="2" max="3" width="1.8515625" style="0" customWidth="1"/>
    <col min="4" max="4" width="1.7109375" style="0" bestFit="1" customWidth="1"/>
    <col min="5" max="5" width="2.00390625" style="0" bestFit="1" customWidth="1"/>
    <col min="6" max="6" width="1.7109375" style="0" bestFit="1" customWidth="1"/>
    <col min="7" max="7" width="47.28125" style="193" bestFit="1" customWidth="1"/>
    <col min="8" max="8" width="23.00390625" style="0" bestFit="1" customWidth="1"/>
    <col min="9" max="9" width="7.8515625" style="0" bestFit="1" customWidth="1"/>
    <col min="10" max="10" width="19.7109375" style="0" bestFit="1" customWidth="1"/>
    <col min="11" max="11" width="6.7109375" style="0" bestFit="1" customWidth="1"/>
    <col min="12" max="12" width="5.421875" style="0" bestFit="1" customWidth="1"/>
    <col min="13" max="13" width="13.140625" style="0" bestFit="1" customWidth="1"/>
    <col min="14" max="14" width="8.421875" style="0" bestFit="1" customWidth="1"/>
    <col min="15" max="15" width="12.28125" style="0" bestFit="1" customWidth="1"/>
    <col min="16" max="16" width="8.8515625" style="0" bestFit="1" customWidth="1"/>
    <col min="17" max="17" width="7.8515625" style="0" bestFit="1" customWidth="1"/>
  </cols>
  <sheetData>
    <row r="1" spans="1:17" ht="12.75">
      <c r="A1" s="634" t="s">
        <v>455</v>
      </c>
      <c r="B1" s="634"/>
      <c r="C1" s="634"/>
      <c r="D1" s="634"/>
      <c r="E1" s="634"/>
      <c r="F1" s="634"/>
      <c r="G1" s="634"/>
      <c r="H1" s="634"/>
      <c r="I1" s="634"/>
      <c r="J1" s="634"/>
      <c r="K1" s="634"/>
      <c r="L1" s="634"/>
      <c r="M1" s="634"/>
      <c r="N1" s="634"/>
      <c r="O1" s="634"/>
      <c r="P1" s="634"/>
      <c r="Q1" s="634"/>
    </row>
    <row r="2" spans="1:17" s="543" customFormat="1" ht="11.25">
      <c r="A2" s="542"/>
      <c r="B2" s="542"/>
      <c r="C2" s="542"/>
      <c r="D2" s="542"/>
      <c r="E2" s="542"/>
      <c r="F2" s="542"/>
      <c r="G2" s="542"/>
      <c r="H2" s="542"/>
      <c r="I2" s="542" t="s">
        <v>428</v>
      </c>
      <c r="J2" s="542"/>
      <c r="K2" s="542" t="s">
        <v>429</v>
      </c>
      <c r="L2" s="542"/>
      <c r="M2" s="542" t="s">
        <v>442</v>
      </c>
      <c r="N2" s="542" t="s">
        <v>442</v>
      </c>
      <c r="O2" s="542" t="s">
        <v>314</v>
      </c>
      <c r="P2" s="542"/>
      <c r="Q2" s="542" t="s">
        <v>430</v>
      </c>
    </row>
    <row r="3" spans="1:17" s="543" customFormat="1" ht="12" thickBot="1">
      <c r="A3" s="635" t="s">
        <v>431</v>
      </c>
      <c r="B3" s="635"/>
      <c r="C3" s="635"/>
      <c r="D3" s="635"/>
      <c r="E3" s="635"/>
      <c r="F3" s="635"/>
      <c r="G3" s="544" t="s">
        <v>443</v>
      </c>
      <c r="H3" s="544" t="s">
        <v>433</v>
      </c>
      <c r="I3" s="544" t="s">
        <v>436</v>
      </c>
      <c r="J3" s="544" t="s">
        <v>437</v>
      </c>
      <c r="K3" s="544" t="s">
        <v>438</v>
      </c>
      <c r="L3" s="544" t="s">
        <v>310</v>
      </c>
      <c r="M3" s="544" t="s">
        <v>315</v>
      </c>
      <c r="N3" s="544" t="s">
        <v>316</v>
      </c>
      <c r="O3" s="544" t="s">
        <v>315</v>
      </c>
      <c r="P3" s="544" t="s">
        <v>314</v>
      </c>
      <c r="Q3" s="544" t="s">
        <v>440</v>
      </c>
    </row>
    <row r="4" spans="1:17" ht="15.75">
      <c r="A4" s="480"/>
      <c r="B4" s="480"/>
      <c r="C4" s="480"/>
      <c r="D4" s="480"/>
      <c r="E4" s="541"/>
      <c r="F4" s="536" t="s">
        <v>54</v>
      </c>
      <c r="G4" s="537" t="s">
        <v>141</v>
      </c>
      <c r="H4" s="339" t="s">
        <v>142</v>
      </c>
      <c r="I4" s="538">
        <v>40893</v>
      </c>
      <c r="J4" s="286" t="s">
        <v>8</v>
      </c>
      <c r="K4" s="539">
        <v>131</v>
      </c>
      <c r="L4" s="540">
        <v>3</v>
      </c>
      <c r="M4" s="487">
        <v>2464903</v>
      </c>
      <c r="N4" s="488">
        <v>273690</v>
      </c>
      <c r="O4" s="489">
        <v>8604215</v>
      </c>
      <c r="P4" s="490" t="s">
        <v>316</v>
      </c>
      <c r="Q4" s="491">
        <v>40907</v>
      </c>
    </row>
    <row r="5" spans="1:17" ht="15.75">
      <c r="A5" s="240"/>
      <c r="B5" s="240"/>
      <c r="C5" s="240"/>
      <c r="D5" s="240"/>
      <c r="E5" s="241"/>
      <c r="F5" s="242" t="s">
        <v>54</v>
      </c>
      <c r="G5" s="471" t="s">
        <v>141</v>
      </c>
      <c r="H5" s="65" t="s">
        <v>142</v>
      </c>
      <c r="I5" s="291">
        <v>40893</v>
      </c>
      <c r="J5" s="68" t="s">
        <v>8</v>
      </c>
      <c r="K5" s="355">
        <v>131</v>
      </c>
      <c r="L5" s="266">
        <v>4</v>
      </c>
      <c r="M5" s="493">
        <v>1826075</v>
      </c>
      <c r="N5" s="494">
        <v>198737</v>
      </c>
      <c r="O5" s="495">
        <v>10430290</v>
      </c>
      <c r="P5" s="496">
        <v>1159044</v>
      </c>
      <c r="Q5" s="285">
        <v>40914</v>
      </c>
    </row>
    <row r="6" spans="1:17" ht="15.75">
      <c r="A6" s="240"/>
      <c r="B6" s="240"/>
      <c r="C6" s="240"/>
      <c r="D6" s="240"/>
      <c r="E6" s="244"/>
      <c r="F6" s="242" t="s">
        <v>54</v>
      </c>
      <c r="G6" s="473" t="s">
        <v>350</v>
      </c>
      <c r="H6" s="65" t="s">
        <v>351</v>
      </c>
      <c r="I6" s="290">
        <v>40914</v>
      </c>
      <c r="J6" s="68" t="s">
        <v>12</v>
      </c>
      <c r="K6" s="350">
        <v>204</v>
      </c>
      <c r="L6" s="274">
        <v>1</v>
      </c>
      <c r="M6" s="500">
        <v>1571916</v>
      </c>
      <c r="N6" s="501">
        <v>166869</v>
      </c>
      <c r="O6" s="502">
        <v>1571916</v>
      </c>
      <c r="P6" s="503">
        <v>166869</v>
      </c>
      <c r="Q6" s="285">
        <v>40914</v>
      </c>
    </row>
    <row r="7" spans="1:17" ht="15.75">
      <c r="A7" s="240">
        <v>2012</v>
      </c>
      <c r="B7" s="240"/>
      <c r="C7" s="240"/>
      <c r="D7" s="240"/>
      <c r="E7" s="244"/>
      <c r="F7" s="242" t="s">
        <v>54</v>
      </c>
      <c r="G7" s="245" t="s">
        <v>350</v>
      </c>
      <c r="H7" s="65" t="s">
        <v>351</v>
      </c>
      <c r="I7" s="290">
        <v>40914</v>
      </c>
      <c r="J7" s="68" t="s">
        <v>12</v>
      </c>
      <c r="K7" s="350">
        <v>204</v>
      </c>
      <c r="L7" s="274">
        <v>1</v>
      </c>
      <c r="M7" s="500">
        <v>1571916</v>
      </c>
      <c r="N7" s="501">
        <v>166869</v>
      </c>
      <c r="O7" s="502">
        <v>1571916</v>
      </c>
      <c r="P7" s="503">
        <v>166869</v>
      </c>
      <c r="Q7" s="285">
        <v>40914</v>
      </c>
    </row>
    <row r="8" spans="1:17" ht="15.75">
      <c r="A8" s="240"/>
      <c r="B8" s="240"/>
      <c r="C8" s="240"/>
      <c r="D8" s="240"/>
      <c r="E8" s="244"/>
      <c r="F8" s="242" t="s">
        <v>54</v>
      </c>
      <c r="G8" s="473" t="s">
        <v>350</v>
      </c>
      <c r="H8" s="65" t="s">
        <v>351</v>
      </c>
      <c r="I8" s="290">
        <v>40914</v>
      </c>
      <c r="J8" s="68" t="s">
        <v>12</v>
      </c>
      <c r="K8" s="372">
        <v>204</v>
      </c>
      <c r="L8" s="373">
        <v>2</v>
      </c>
      <c r="M8" s="419">
        <v>1545867</v>
      </c>
      <c r="N8" s="420">
        <v>166896</v>
      </c>
      <c r="O8" s="383">
        <v>3117783</v>
      </c>
      <c r="P8" s="384">
        <v>333765</v>
      </c>
      <c r="Q8" s="285">
        <v>40921</v>
      </c>
    </row>
    <row r="9" spans="1:17" ht="15.75">
      <c r="A9" s="240">
        <v>2012</v>
      </c>
      <c r="B9" s="240"/>
      <c r="C9" s="240"/>
      <c r="D9" s="240"/>
      <c r="E9" s="244"/>
      <c r="F9" s="242" t="s">
        <v>54</v>
      </c>
      <c r="G9" s="245" t="s">
        <v>350</v>
      </c>
      <c r="H9" s="65" t="s">
        <v>351</v>
      </c>
      <c r="I9" s="290">
        <v>40914</v>
      </c>
      <c r="J9" s="68" t="s">
        <v>12</v>
      </c>
      <c r="K9" s="372">
        <v>204</v>
      </c>
      <c r="L9" s="373">
        <v>2</v>
      </c>
      <c r="M9" s="419">
        <v>1545867</v>
      </c>
      <c r="N9" s="420">
        <v>166896</v>
      </c>
      <c r="O9" s="383">
        <v>3117783</v>
      </c>
      <c r="P9" s="384">
        <v>333765</v>
      </c>
      <c r="Q9" s="386">
        <v>40921</v>
      </c>
    </row>
    <row r="10" spans="1:17" ht="15.75">
      <c r="A10" s="240"/>
      <c r="B10" s="240"/>
      <c r="C10" s="240"/>
      <c r="D10" s="240"/>
      <c r="E10" s="241"/>
      <c r="F10" s="242" t="s">
        <v>54</v>
      </c>
      <c r="G10" s="471" t="s">
        <v>141</v>
      </c>
      <c r="H10" s="65" t="s">
        <v>142</v>
      </c>
      <c r="I10" s="291">
        <v>40893</v>
      </c>
      <c r="J10" s="68" t="s">
        <v>8</v>
      </c>
      <c r="K10" s="387">
        <v>131</v>
      </c>
      <c r="L10" s="388">
        <v>5</v>
      </c>
      <c r="M10" s="421">
        <v>1536557</v>
      </c>
      <c r="N10" s="422">
        <v>171960</v>
      </c>
      <c r="O10" s="393">
        <v>11382284</v>
      </c>
      <c r="P10" s="398">
        <v>1257533</v>
      </c>
      <c r="Q10" s="285">
        <v>40921</v>
      </c>
    </row>
    <row r="11" spans="1:17" ht="15.75">
      <c r="A11" s="253"/>
      <c r="B11" s="253"/>
      <c r="C11" s="253"/>
      <c r="D11" s="253"/>
      <c r="E11" s="252"/>
      <c r="F11" s="242" t="s">
        <v>54</v>
      </c>
      <c r="G11" s="511" t="s">
        <v>151</v>
      </c>
      <c r="H11" s="65" t="s">
        <v>218</v>
      </c>
      <c r="I11" s="290">
        <v>40900</v>
      </c>
      <c r="J11" s="68" t="s">
        <v>68</v>
      </c>
      <c r="K11" s="372">
        <v>197</v>
      </c>
      <c r="L11" s="373">
        <v>2</v>
      </c>
      <c r="M11" s="423">
        <v>656291</v>
      </c>
      <c r="N11" s="424">
        <v>73110</v>
      </c>
      <c r="O11" s="393">
        <f>985836.5+656291</f>
        <v>1642127.5</v>
      </c>
      <c r="P11" s="398">
        <f>106718+73110</f>
        <v>179828</v>
      </c>
      <c r="Q11" s="499">
        <v>40907</v>
      </c>
    </row>
    <row r="12" spans="1:17" ht="15.75">
      <c r="A12" s="240"/>
      <c r="B12" s="240"/>
      <c r="C12" s="240"/>
      <c r="D12" s="253"/>
      <c r="E12" s="244"/>
      <c r="F12" s="242" t="s">
        <v>54</v>
      </c>
      <c r="G12" s="511" t="s">
        <v>151</v>
      </c>
      <c r="H12" s="65" t="s">
        <v>218</v>
      </c>
      <c r="I12" s="290">
        <v>40900</v>
      </c>
      <c r="J12" s="68" t="s">
        <v>68</v>
      </c>
      <c r="K12" s="350">
        <v>197</v>
      </c>
      <c r="L12" s="492">
        <v>3</v>
      </c>
      <c r="M12" s="493">
        <v>454728.5</v>
      </c>
      <c r="N12" s="494">
        <v>50608</v>
      </c>
      <c r="O12" s="495">
        <f>985836.5+657011.5+454728.5</f>
        <v>2097576.5</v>
      </c>
      <c r="P12" s="496">
        <f>106718+73176+50608</f>
        <v>230502</v>
      </c>
      <c r="Q12" s="285">
        <v>40914</v>
      </c>
    </row>
    <row r="13" spans="1:17" ht="15.75">
      <c r="A13" s="253"/>
      <c r="B13" s="253"/>
      <c r="C13" s="253"/>
      <c r="D13" s="253"/>
      <c r="E13" s="529"/>
      <c r="F13" s="242" t="s">
        <v>54</v>
      </c>
      <c r="G13" s="513" t="s">
        <v>104</v>
      </c>
      <c r="H13" s="65" t="s">
        <v>105</v>
      </c>
      <c r="I13" s="291">
        <v>40872</v>
      </c>
      <c r="J13" s="68" t="s">
        <v>10</v>
      </c>
      <c r="K13" s="372">
        <v>277</v>
      </c>
      <c r="L13" s="394">
        <v>6</v>
      </c>
      <c r="M13" s="423">
        <v>441941</v>
      </c>
      <c r="N13" s="424">
        <v>49345</v>
      </c>
      <c r="O13" s="393">
        <v>10697295</v>
      </c>
      <c r="P13" s="398">
        <v>1139680</v>
      </c>
      <c r="Q13" s="499">
        <v>40907</v>
      </c>
    </row>
    <row r="14" spans="1:17" ht="15.75">
      <c r="A14" s="240">
        <v>2012</v>
      </c>
      <c r="B14" s="240"/>
      <c r="C14" s="240"/>
      <c r="D14" s="240"/>
      <c r="E14" s="244"/>
      <c r="F14" s="242" t="s">
        <v>54</v>
      </c>
      <c r="G14" s="443" t="s">
        <v>398</v>
      </c>
      <c r="H14" s="68" t="s">
        <v>399</v>
      </c>
      <c r="I14" s="290">
        <v>40921</v>
      </c>
      <c r="J14" s="68" t="s">
        <v>52</v>
      </c>
      <c r="K14" s="372">
        <v>49</v>
      </c>
      <c r="L14" s="394">
        <v>1</v>
      </c>
      <c r="M14" s="425">
        <v>357713</v>
      </c>
      <c r="N14" s="426">
        <v>33400</v>
      </c>
      <c r="O14" s="399">
        <v>357713</v>
      </c>
      <c r="P14" s="382">
        <v>33400</v>
      </c>
      <c r="Q14" s="386">
        <v>40921</v>
      </c>
    </row>
    <row r="15" spans="1:17" ht="15.75">
      <c r="A15" s="519"/>
      <c r="B15" s="519"/>
      <c r="C15" s="253"/>
      <c r="D15" s="519"/>
      <c r="E15" s="531"/>
      <c r="F15" s="242" t="s">
        <v>54</v>
      </c>
      <c r="G15" s="511" t="s">
        <v>107</v>
      </c>
      <c r="H15" s="67" t="s">
        <v>123</v>
      </c>
      <c r="I15" s="290">
        <v>40879</v>
      </c>
      <c r="J15" s="68" t="s">
        <v>68</v>
      </c>
      <c r="K15" s="372">
        <v>202</v>
      </c>
      <c r="L15" s="373">
        <v>5</v>
      </c>
      <c r="M15" s="423">
        <v>299977</v>
      </c>
      <c r="N15" s="424">
        <v>39696</v>
      </c>
      <c r="O15" s="393">
        <f>1080241.5+1088121+871543+502064+299977</f>
        <v>3841946.5</v>
      </c>
      <c r="P15" s="398">
        <f>121812+123965+100674+61096+39696</f>
        <v>447243</v>
      </c>
      <c r="Q15" s="499">
        <v>40907</v>
      </c>
    </row>
    <row r="16" spans="1:17" ht="15.75">
      <c r="A16" s="255"/>
      <c r="B16" s="255"/>
      <c r="C16" s="240"/>
      <c r="D16" s="255"/>
      <c r="E16" s="244"/>
      <c r="F16" s="242" t="s">
        <v>54</v>
      </c>
      <c r="G16" s="471" t="s">
        <v>340</v>
      </c>
      <c r="H16" s="70" t="s">
        <v>342</v>
      </c>
      <c r="I16" s="290">
        <v>40914</v>
      </c>
      <c r="J16" s="68" t="s">
        <v>53</v>
      </c>
      <c r="K16" s="354">
        <v>97</v>
      </c>
      <c r="L16" s="507">
        <v>1</v>
      </c>
      <c r="M16" s="508">
        <v>216520</v>
      </c>
      <c r="N16" s="501">
        <v>26831</v>
      </c>
      <c r="O16" s="509">
        <f>216520</f>
        <v>216520</v>
      </c>
      <c r="P16" s="503">
        <f>26831</f>
        <v>26831</v>
      </c>
      <c r="Q16" s="285">
        <v>40914</v>
      </c>
    </row>
    <row r="17" spans="1:17" ht="15.75">
      <c r="A17" s="240">
        <v>2012</v>
      </c>
      <c r="B17" s="255"/>
      <c r="C17" s="240"/>
      <c r="D17" s="255"/>
      <c r="E17" s="244"/>
      <c r="F17" s="242" t="s">
        <v>54</v>
      </c>
      <c r="G17" s="243" t="s">
        <v>340</v>
      </c>
      <c r="H17" s="70" t="s">
        <v>342</v>
      </c>
      <c r="I17" s="290">
        <v>40914</v>
      </c>
      <c r="J17" s="68" t="s">
        <v>53</v>
      </c>
      <c r="K17" s="354">
        <v>97</v>
      </c>
      <c r="L17" s="507">
        <v>1</v>
      </c>
      <c r="M17" s="508">
        <v>216520</v>
      </c>
      <c r="N17" s="501">
        <v>26831</v>
      </c>
      <c r="O17" s="509">
        <f>216520</f>
        <v>216520</v>
      </c>
      <c r="P17" s="503">
        <f>26831</f>
        <v>26831</v>
      </c>
      <c r="Q17" s="285">
        <v>40914</v>
      </c>
    </row>
    <row r="18" spans="1:17" ht="15.75">
      <c r="A18" s="240"/>
      <c r="B18" s="240"/>
      <c r="C18" s="240"/>
      <c r="D18" s="253"/>
      <c r="E18" s="244"/>
      <c r="F18" s="242" t="s">
        <v>54</v>
      </c>
      <c r="G18" s="511" t="s">
        <v>151</v>
      </c>
      <c r="H18" s="65" t="s">
        <v>218</v>
      </c>
      <c r="I18" s="290">
        <v>40900</v>
      </c>
      <c r="J18" s="68" t="s">
        <v>68</v>
      </c>
      <c r="K18" s="372">
        <v>197</v>
      </c>
      <c r="L18" s="373">
        <v>4</v>
      </c>
      <c r="M18" s="423">
        <v>206447</v>
      </c>
      <c r="N18" s="424">
        <v>29112</v>
      </c>
      <c r="O18" s="393">
        <f>985836.5+657011.5+454728.5+206447</f>
        <v>2304023.5</v>
      </c>
      <c r="P18" s="398">
        <f>106718+73176+50608+29112</f>
        <v>259614</v>
      </c>
      <c r="Q18" s="285">
        <v>40921</v>
      </c>
    </row>
    <row r="19" spans="1:17" ht="15.75">
      <c r="A19" s="255"/>
      <c r="B19" s="255"/>
      <c r="C19" s="240"/>
      <c r="D19" s="255"/>
      <c r="E19" s="244"/>
      <c r="F19" s="242" t="s">
        <v>54</v>
      </c>
      <c r="G19" s="471" t="s">
        <v>340</v>
      </c>
      <c r="H19" s="70" t="s">
        <v>342</v>
      </c>
      <c r="I19" s="290">
        <v>40914</v>
      </c>
      <c r="J19" s="68" t="s">
        <v>53</v>
      </c>
      <c r="K19" s="402">
        <v>97</v>
      </c>
      <c r="L19" s="403">
        <v>2</v>
      </c>
      <c r="M19" s="419">
        <v>198358.5</v>
      </c>
      <c r="N19" s="420">
        <v>25025</v>
      </c>
      <c r="O19" s="404">
        <f>216520+198358.5</f>
        <v>414878.5</v>
      </c>
      <c r="P19" s="405">
        <f>26831+25025</f>
        <v>51856</v>
      </c>
      <c r="Q19" s="285">
        <v>40921</v>
      </c>
    </row>
    <row r="20" spans="1:17" ht="15.75">
      <c r="A20" s="240">
        <v>2012</v>
      </c>
      <c r="B20" s="255"/>
      <c r="C20" s="240"/>
      <c r="D20" s="255"/>
      <c r="E20" s="244"/>
      <c r="F20" s="242" t="s">
        <v>54</v>
      </c>
      <c r="G20" s="243" t="s">
        <v>340</v>
      </c>
      <c r="H20" s="70" t="s">
        <v>342</v>
      </c>
      <c r="I20" s="290">
        <v>40914</v>
      </c>
      <c r="J20" s="68" t="s">
        <v>53</v>
      </c>
      <c r="K20" s="402">
        <v>97</v>
      </c>
      <c r="L20" s="403">
        <v>2</v>
      </c>
      <c r="M20" s="419">
        <v>198358.5</v>
      </c>
      <c r="N20" s="420">
        <v>25025</v>
      </c>
      <c r="O20" s="404">
        <f>216520+198358.5</f>
        <v>414878.5</v>
      </c>
      <c r="P20" s="405">
        <f>26831+25025</f>
        <v>51856</v>
      </c>
      <c r="Q20" s="386">
        <v>40921</v>
      </c>
    </row>
    <row r="21" spans="1:17" ht="15.75">
      <c r="A21" s="519"/>
      <c r="B21" s="519"/>
      <c r="C21" s="253"/>
      <c r="D21" s="247" t="s">
        <v>292</v>
      </c>
      <c r="E21" s="252"/>
      <c r="F21" s="242" t="s">
        <v>54</v>
      </c>
      <c r="G21" s="518" t="s">
        <v>110</v>
      </c>
      <c r="H21" s="65" t="s">
        <v>113</v>
      </c>
      <c r="I21" s="290">
        <v>40879</v>
      </c>
      <c r="J21" s="68" t="s">
        <v>53</v>
      </c>
      <c r="K21" s="372">
        <v>135</v>
      </c>
      <c r="L21" s="403">
        <v>5</v>
      </c>
      <c r="M21" s="505">
        <v>197271.5</v>
      </c>
      <c r="N21" s="506">
        <v>25625</v>
      </c>
      <c r="O21" s="404">
        <f>1709882.25+1194489.75+708906.5+376327+70+197271.5</f>
        <v>4186947</v>
      </c>
      <c r="P21" s="405">
        <f>195314+135261+80447+45395+10+25625</f>
        <v>482052</v>
      </c>
      <c r="Q21" s="499">
        <v>40907</v>
      </c>
    </row>
    <row r="22" spans="1:17" ht="15.75">
      <c r="A22" s="265"/>
      <c r="B22" s="265"/>
      <c r="C22" s="253"/>
      <c r="D22" s="265"/>
      <c r="E22" s="251" t="s">
        <v>55</v>
      </c>
      <c r="F22" s="242" t="s">
        <v>54</v>
      </c>
      <c r="G22" s="504" t="s">
        <v>74</v>
      </c>
      <c r="H22" s="71" t="s">
        <v>80</v>
      </c>
      <c r="I22" s="290">
        <v>40851</v>
      </c>
      <c r="J22" s="68" t="s">
        <v>53</v>
      </c>
      <c r="K22" s="387">
        <v>247</v>
      </c>
      <c r="L22" s="403">
        <v>9</v>
      </c>
      <c r="M22" s="505">
        <v>184428</v>
      </c>
      <c r="N22" s="506">
        <v>33224</v>
      </c>
      <c r="O22" s="404">
        <f>2260223+2366876.75+3859638+3137342+1906742.5+252.25+1189485.5+474275+250512+184428</f>
        <v>15629775</v>
      </c>
      <c r="P22" s="405">
        <f>286038+329194+554088+452220+278080+42+178270+68355+40409+33224</f>
        <v>2219920</v>
      </c>
      <c r="Q22" s="499">
        <v>40907</v>
      </c>
    </row>
    <row r="23" spans="1:17" ht="15.75">
      <c r="A23" s="256"/>
      <c r="B23" s="256"/>
      <c r="C23" s="240"/>
      <c r="D23" s="256"/>
      <c r="E23" s="257"/>
      <c r="F23" s="242" t="s">
        <v>54</v>
      </c>
      <c r="G23" s="511" t="s">
        <v>107</v>
      </c>
      <c r="H23" s="67" t="s">
        <v>123</v>
      </c>
      <c r="I23" s="290">
        <v>40879</v>
      </c>
      <c r="J23" s="68" t="s">
        <v>68</v>
      </c>
      <c r="K23" s="350">
        <v>202</v>
      </c>
      <c r="L23" s="492">
        <v>6</v>
      </c>
      <c r="M23" s="493">
        <v>131358.5</v>
      </c>
      <c r="N23" s="494">
        <v>19116</v>
      </c>
      <c r="O23" s="495">
        <f>1080241.5+1088121+871543+502064+300294.5+131358.5</f>
        <v>3973622.5</v>
      </c>
      <c r="P23" s="496">
        <f>121812+123965+100674+61096+39726+19116</f>
        <v>466389</v>
      </c>
      <c r="Q23" s="285">
        <v>40914</v>
      </c>
    </row>
    <row r="24" spans="1:17" ht="15.75">
      <c r="A24" s="240"/>
      <c r="B24" s="240"/>
      <c r="C24" s="240"/>
      <c r="D24" s="240"/>
      <c r="E24" s="241"/>
      <c r="F24" s="242" t="s">
        <v>54</v>
      </c>
      <c r="G24" s="473" t="s">
        <v>104</v>
      </c>
      <c r="H24" s="65" t="s">
        <v>105</v>
      </c>
      <c r="I24" s="291">
        <v>40872</v>
      </c>
      <c r="J24" s="68" t="s">
        <v>10</v>
      </c>
      <c r="K24" s="350">
        <v>277</v>
      </c>
      <c r="L24" s="276">
        <v>7</v>
      </c>
      <c r="M24" s="493">
        <f>129529+680</f>
        <v>130209</v>
      </c>
      <c r="N24" s="494">
        <f>15613+55</f>
        <v>15668</v>
      </c>
      <c r="O24" s="495">
        <f>10697295+129529+680</f>
        <v>10827504</v>
      </c>
      <c r="P24" s="496">
        <f>1139680+15613+55</f>
        <v>1155348</v>
      </c>
      <c r="Q24" s="285">
        <v>40914</v>
      </c>
    </row>
    <row r="25" spans="1:17" ht="15.75">
      <c r="A25" s="256"/>
      <c r="B25" s="256"/>
      <c r="C25" s="240"/>
      <c r="D25" s="256"/>
      <c r="E25" s="257"/>
      <c r="F25" s="242" t="s">
        <v>54</v>
      </c>
      <c r="G25" s="511" t="s">
        <v>107</v>
      </c>
      <c r="H25" s="67" t="s">
        <v>123</v>
      </c>
      <c r="I25" s="290">
        <v>40879</v>
      </c>
      <c r="J25" s="68" t="s">
        <v>68</v>
      </c>
      <c r="K25" s="372">
        <v>202</v>
      </c>
      <c r="L25" s="373">
        <v>7</v>
      </c>
      <c r="M25" s="423">
        <v>96969.5</v>
      </c>
      <c r="N25" s="424">
        <v>14898</v>
      </c>
      <c r="O25" s="393">
        <f>1080241.5+1088121+871543+502064+300294.5+131358.5+96969.5</f>
        <v>4070592</v>
      </c>
      <c r="P25" s="398">
        <f>121812+123965+100674+61096+39726+19116+14898</f>
        <v>481287</v>
      </c>
      <c r="Q25" s="285">
        <v>40921</v>
      </c>
    </row>
    <row r="26" spans="1:17" ht="15.75">
      <c r="A26" s="256"/>
      <c r="B26" s="256"/>
      <c r="C26" s="240"/>
      <c r="D26" s="247" t="s">
        <v>292</v>
      </c>
      <c r="E26" s="252"/>
      <c r="F26" s="242" t="s">
        <v>54</v>
      </c>
      <c r="G26" s="518" t="s">
        <v>110</v>
      </c>
      <c r="H26" s="65" t="s">
        <v>113</v>
      </c>
      <c r="I26" s="290">
        <v>40879</v>
      </c>
      <c r="J26" s="68" t="s">
        <v>53</v>
      </c>
      <c r="K26" s="350">
        <v>135</v>
      </c>
      <c r="L26" s="507">
        <v>6</v>
      </c>
      <c r="M26" s="508">
        <v>73341.5</v>
      </c>
      <c r="N26" s="501">
        <v>10302</v>
      </c>
      <c r="O26" s="509">
        <f>1709882.25+1194489.75+708906.5+376327+70+197271.5+73341.5</f>
        <v>4260288.5</v>
      </c>
      <c r="P26" s="503">
        <f>195314+135261+80447+45395+10+25625+10302</f>
        <v>492354</v>
      </c>
      <c r="Q26" s="285">
        <v>40914</v>
      </c>
    </row>
    <row r="27" spans="1:17" ht="15.75">
      <c r="A27" s="256"/>
      <c r="B27" s="256"/>
      <c r="C27" s="240"/>
      <c r="D27" s="247" t="s">
        <v>292</v>
      </c>
      <c r="E27" s="252"/>
      <c r="F27" s="242" t="s">
        <v>54</v>
      </c>
      <c r="G27" s="518" t="s">
        <v>110</v>
      </c>
      <c r="H27" s="65" t="s">
        <v>113</v>
      </c>
      <c r="I27" s="290">
        <v>40879</v>
      </c>
      <c r="J27" s="68" t="s">
        <v>53</v>
      </c>
      <c r="K27" s="372">
        <v>135</v>
      </c>
      <c r="L27" s="403">
        <v>7</v>
      </c>
      <c r="M27" s="419">
        <v>70692.5</v>
      </c>
      <c r="N27" s="420">
        <v>10950</v>
      </c>
      <c r="O27" s="404">
        <f>1709882.25+1194489.75+708906.5+376327+70+197271.5+73341.5+70692.5</f>
        <v>4330981</v>
      </c>
      <c r="P27" s="405">
        <f>195314+135261+80447+45395+10+25625+10302+10950</f>
        <v>503304</v>
      </c>
      <c r="Q27" s="285">
        <v>40921</v>
      </c>
    </row>
    <row r="28" spans="1:17" ht="15.75">
      <c r="A28" s="240"/>
      <c r="B28" s="240"/>
      <c r="C28" s="240"/>
      <c r="D28" s="240"/>
      <c r="E28" s="241"/>
      <c r="F28" s="242" t="s">
        <v>54</v>
      </c>
      <c r="G28" s="473" t="s">
        <v>104</v>
      </c>
      <c r="H28" s="65" t="s">
        <v>105</v>
      </c>
      <c r="I28" s="291">
        <v>40872</v>
      </c>
      <c r="J28" s="68" t="s">
        <v>10</v>
      </c>
      <c r="K28" s="372">
        <v>277</v>
      </c>
      <c r="L28" s="394">
        <v>8</v>
      </c>
      <c r="M28" s="423">
        <v>64482</v>
      </c>
      <c r="N28" s="424">
        <v>7909</v>
      </c>
      <c r="O28" s="393">
        <v>10891986</v>
      </c>
      <c r="P28" s="398">
        <v>1163257</v>
      </c>
      <c r="Q28" s="285">
        <v>40921</v>
      </c>
    </row>
    <row r="29" spans="1:17" ht="15.75">
      <c r="A29" s="256"/>
      <c r="B29" s="256"/>
      <c r="C29" s="253"/>
      <c r="D29" s="256"/>
      <c r="E29" s="239"/>
      <c r="F29" s="242" t="s">
        <v>54</v>
      </c>
      <c r="G29" s="513" t="s">
        <v>120</v>
      </c>
      <c r="H29" s="65" t="s">
        <v>122</v>
      </c>
      <c r="I29" s="290">
        <v>40886</v>
      </c>
      <c r="J29" s="68" t="s">
        <v>121</v>
      </c>
      <c r="K29" s="372">
        <v>82</v>
      </c>
      <c r="L29" s="394">
        <v>4</v>
      </c>
      <c r="M29" s="429">
        <v>27702.5</v>
      </c>
      <c r="N29" s="430">
        <v>3949</v>
      </c>
      <c r="O29" s="408">
        <v>629561</v>
      </c>
      <c r="P29" s="409">
        <v>71923</v>
      </c>
      <c r="Q29" s="499">
        <v>40907</v>
      </c>
    </row>
    <row r="30" spans="1:17" ht="15.75">
      <c r="A30" s="253"/>
      <c r="B30" s="253"/>
      <c r="C30" s="253"/>
      <c r="D30" s="253"/>
      <c r="E30" s="239"/>
      <c r="F30" s="242" t="s">
        <v>54</v>
      </c>
      <c r="G30" s="511" t="s">
        <v>115</v>
      </c>
      <c r="H30" s="65" t="s">
        <v>116</v>
      </c>
      <c r="I30" s="290">
        <v>40886</v>
      </c>
      <c r="J30" s="68" t="s">
        <v>12</v>
      </c>
      <c r="K30" s="372">
        <v>161</v>
      </c>
      <c r="L30" s="373">
        <v>4</v>
      </c>
      <c r="M30" s="521">
        <v>23157</v>
      </c>
      <c r="N30" s="522">
        <v>3682</v>
      </c>
      <c r="O30" s="383">
        <v>853031</v>
      </c>
      <c r="P30" s="384">
        <v>102752</v>
      </c>
      <c r="Q30" s="499">
        <v>40907</v>
      </c>
    </row>
    <row r="31" spans="1:17" ht="15.75">
      <c r="A31" s="253"/>
      <c r="B31" s="253"/>
      <c r="C31" s="253"/>
      <c r="D31" s="253"/>
      <c r="E31" s="252"/>
      <c r="F31" s="242" t="s">
        <v>54</v>
      </c>
      <c r="G31" s="511" t="s">
        <v>143</v>
      </c>
      <c r="H31" s="65" t="s">
        <v>127</v>
      </c>
      <c r="I31" s="290">
        <v>40893</v>
      </c>
      <c r="J31" s="68" t="s">
        <v>68</v>
      </c>
      <c r="K31" s="372">
        <v>23</v>
      </c>
      <c r="L31" s="373">
        <v>3</v>
      </c>
      <c r="M31" s="423">
        <v>20298.5</v>
      </c>
      <c r="N31" s="424">
        <v>2691</v>
      </c>
      <c r="O31" s="393">
        <f>53228.5+28585+20298.5</f>
        <v>102112</v>
      </c>
      <c r="P31" s="398">
        <f>6440+3537+2691</f>
        <v>12668</v>
      </c>
      <c r="Q31" s="499">
        <v>40907</v>
      </c>
    </row>
    <row r="32" spans="1:17" ht="15.75">
      <c r="A32" s="253"/>
      <c r="B32" s="253"/>
      <c r="C32" s="253"/>
      <c r="D32" s="253"/>
      <c r="E32" s="252"/>
      <c r="F32" s="242" t="s">
        <v>54</v>
      </c>
      <c r="G32" s="504" t="s">
        <v>148</v>
      </c>
      <c r="H32" s="68" t="s">
        <v>112</v>
      </c>
      <c r="I32" s="290">
        <v>40900</v>
      </c>
      <c r="J32" s="68" t="s">
        <v>52</v>
      </c>
      <c r="K32" s="406">
        <v>14</v>
      </c>
      <c r="L32" s="394">
        <v>2</v>
      </c>
      <c r="M32" s="527">
        <v>19458.5</v>
      </c>
      <c r="N32" s="528">
        <v>1850</v>
      </c>
      <c r="O32" s="378">
        <f>43848.5+19458.5</f>
        <v>63307</v>
      </c>
      <c r="P32" s="382">
        <f>3764+1850</f>
        <v>5614</v>
      </c>
      <c r="Q32" s="499">
        <v>40907</v>
      </c>
    </row>
    <row r="33" spans="1:17" ht="15.75">
      <c r="A33" s="240"/>
      <c r="B33" s="240"/>
      <c r="C33" s="240"/>
      <c r="D33" s="240"/>
      <c r="E33" s="244"/>
      <c r="F33" s="242" t="s">
        <v>54</v>
      </c>
      <c r="G33" s="511" t="s">
        <v>67</v>
      </c>
      <c r="H33" s="67" t="s">
        <v>85</v>
      </c>
      <c r="I33" s="290">
        <v>40844</v>
      </c>
      <c r="J33" s="68" t="s">
        <v>68</v>
      </c>
      <c r="K33" s="372">
        <v>278</v>
      </c>
      <c r="L33" s="373">
        <v>12</v>
      </c>
      <c r="M33" s="423">
        <v>17222.5</v>
      </c>
      <c r="N33" s="424">
        <v>1888</v>
      </c>
      <c r="O33" s="393">
        <f>2021467.25+4147826.75+1641146.5+1086471.5+837723.5+353523.5+115157+12431.5+1554+13261.5+3397.5+17222.5</f>
        <v>10251183</v>
      </c>
      <c r="P33" s="398">
        <f>231121+459388+190384+130345+104513+46481+14878+1830+250+1860+737+1888</f>
        <v>1183675</v>
      </c>
      <c r="Q33" s="285">
        <v>40921</v>
      </c>
    </row>
    <row r="34" spans="1:17" ht="15.75">
      <c r="A34" s="253"/>
      <c r="B34" s="253"/>
      <c r="C34" s="253"/>
      <c r="D34" s="253"/>
      <c r="E34" s="252"/>
      <c r="F34" s="242" t="s">
        <v>54</v>
      </c>
      <c r="G34" s="511" t="s">
        <v>67</v>
      </c>
      <c r="H34" s="67" t="s">
        <v>85</v>
      </c>
      <c r="I34" s="290">
        <v>40844</v>
      </c>
      <c r="J34" s="68" t="s">
        <v>68</v>
      </c>
      <c r="K34" s="372">
        <v>278</v>
      </c>
      <c r="L34" s="373">
        <v>10</v>
      </c>
      <c r="M34" s="423">
        <v>13261.5</v>
      </c>
      <c r="N34" s="424">
        <v>1860</v>
      </c>
      <c r="O34" s="393">
        <f>2021467.25+4147826.75+1641146.5+1086471.5+837723.5+353523.5+115157+12431.5+1554+13261.5</f>
        <v>10230563</v>
      </c>
      <c r="P34" s="398">
        <f>231121+459388+190384+130345+104513+46481+14878+1830+250+1860</f>
        <v>1181050</v>
      </c>
      <c r="Q34" s="499">
        <v>40907</v>
      </c>
    </row>
    <row r="35" spans="1:17" ht="15.75">
      <c r="A35" s="255"/>
      <c r="B35" s="255"/>
      <c r="C35" s="240"/>
      <c r="D35" s="255"/>
      <c r="E35" s="251" t="s">
        <v>55</v>
      </c>
      <c r="F35" s="242" t="s">
        <v>54</v>
      </c>
      <c r="G35" s="504" t="s">
        <v>74</v>
      </c>
      <c r="H35" s="71" t="s">
        <v>80</v>
      </c>
      <c r="I35" s="290">
        <v>40851</v>
      </c>
      <c r="J35" s="68" t="s">
        <v>53</v>
      </c>
      <c r="K35" s="355">
        <v>247</v>
      </c>
      <c r="L35" s="507">
        <v>10</v>
      </c>
      <c r="M35" s="508">
        <v>13126</v>
      </c>
      <c r="N35" s="501">
        <v>1975</v>
      </c>
      <c r="O35" s="509">
        <f>2260223+2366876.75+3859638+3137342+1906742.5+252.25+1189485.5+474275+250512+184428+13126</f>
        <v>15642901</v>
      </c>
      <c r="P35" s="503">
        <f>286038+329194+554088+452220+278080+42+178270+68355+40409+33224+1975</f>
        <v>2221895</v>
      </c>
      <c r="Q35" s="285">
        <v>40914</v>
      </c>
    </row>
    <row r="36" spans="1:17" ht="15.75">
      <c r="A36" s="240"/>
      <c r="B36" s="240"/>
      <c r="C36" s="240"/>
      <c r="D36" s="240"/>
      <c r="E36" s="244"/>
      <c r="F36" s="242" t="s">
        <v>54</v>
      </c>
      <c r="G36" s="511" t="s">
        <v>115</v>
      </c>
      <c r="H36" s="65" t="s">
        <v>116</v>
      </c>
      <c r="I36" s="290">
        <v>40886</v>
      </c>
      <c r="J36" s="68" t="s">
        <v>12</v>
      </c>
      <c r="K36" s="350">
        <v>161</v>
      </c>
      <c r="L36" s="274">
        <v>5</v>
      </c>
      <c r="M36" s="500">
        <v>11189</v>
      </c>
      <c r="N36" s="501">
        <v>1816</v>
      </c>
      <c r="O36" s="502">
        <v>864220</v>
      </c>
      <c r="P36" s="503">
        <v>104568</v>
      </c>
      <c r="Q36" s="285">
        <v>40914</v>
      </c>
    </row>
    <row r="37" spans="1:17" ht="15.75">
      <c r="A37" s="240"/>
      <c r="B37" s="240"/>
      <c r="C37" s="240"/>
      <c r="D37" s="240"/>
      <c r="E37" s="244"/>
      <c r="F37" s="242" t="s">
        <v>54</v>
      </c>
      <c r="G37" s="511" t="s">
        <v>115</v>
      </c>
      <c r="H37" s="65" t="s">
        <v>116</v>
      </c>
      <c r="I37" s="290">
        <v>40886</v>
      </c>
      <c r="J37" s="68" t="s">
        <v>12</v>
      </c>
      <c r="K37" s="372">
        <v>161</v>
      </c>
      <c r="L37" s="373">
        <v>6</v>
      </c>
      <c r="M37" s="419">
        <v>9906</v>
      </c>
      <c r="N37" s="420">
        <v>1845</v>
      </c>
      <c r="O37" s="383">
        <v>874126</v>
      </c>
      <c r="P37" s="384">
        <v>106413</v>
      </c>
      <c r="Q37" s="285">
        <v>40921</v>
      </c>
    </row>
    <row r="38" spans="1:17" ht="15.75">
      <c r="A38" s="253"/>
      <c r="B38" s="253"/>
      <c r="C38" s="253"/>
      <c r="D38" s="253"/>
      <c r="E38" s="252"/>
      <c r="F38" s="242" t="s">
        <v>54</v>
      </c>
      <c r="G38" s="518" t="s">
        <v>71</v>
      </c>
      <c r="H38" s="65" t="s">
        <v>82</v>
      </c>
      <c r="I38" s="291">
        <v>40858</v>
      </c>
      <c r="J38" s="68" t="s">
        <v>53</v>
      </c>
      <c r="K38" s="372">
        <v>130</v>
      </c>
      <c r="L38" s="403">
        <v>8</v>
      </c>
      <c r="M38" s="505">
        <v>8754</v>
      </c>
      <c r="N38" s="506">
        <v>1547</v>
      </c>
      <c r="O38" s="404">
        <f>665902+436506+215139.5+18371+13790+6539+18719+8754</f>
        <v>1383720.5</v>
      </c>
      <c r="P38" s="405">
        <f>66262+44749+24699+2311+1764+1135+3015+1547</f>
        <v>145482</v>
      </c>
      <c r="Q38" s="499">
        <v>40907</v>
      </c>
    </row>
    <row r="39" spans="1:17" ht="15.75">
      <c r="A39" s="240"/>
      <c r="B39" s="240"/>
      <c r="C39" s="240"/>
      <c r="D39" s="240"/>
      <c r="E39" s="244"/>
      <c r="F39" s="242" t="s">
        <v>54</v>
      </c>
      <c r="G39" s="511" t="s">
        <v>143</v>
      </c>
      <c r="H39" s="65" t="s">
        <v>127</v>
      </c>
      <c r="I39" s="290">
        <v>40893</v>
      </c>
      <c r="J39" s="68" t="s">
        <v>68</v>
      </c>
      <c r="K39" s="350">
        <v>23</v>
      </c>
      <c r="L39" s="492">
        <v>4</v>
      </c>
      <c r="M39" s="493">
        <v>8299</v>
      </c>
      <c r="N39" s="494">
        <v>1237</v>
      </c>
      <c r="O39" s="495">
        <f>53228.5+28585+20298.5+8299</f>
        <v>110411</v>
      </c>
      <c r="P39" s="496">
        <f>6440+3537+2691+1237</f>
        <v>13905</v>
      </c>
      <c r="Q39" s="285">
        <v>40914</v>
      </c>
    </row>
    <row r="40" spans="1:17" ht="15.75">
      <c r="A40" s="256"/>
      <c r="B40" s="256"/>
      <c r="C40" s="240"/>
      <c r="D40" s="256"/>
      <c r="E40" s="244"/>
      <c r="F40" s="242" t="s">
        <v>54</v>
      </c>
      <c r="G40" s="513" t="s">
        <v>120</v>
      </c>
      <c r="H40" s="65" t="s">
        <v>122</v>
      </c>
      <c r="I40" s="290">
        <v>40886</v>
      </c>
      <c r="J40" s="68" t="s">
        <v>121</v>
      </c>
      <c r="K40" s="350">
        <v>82</v>
      </c>
      <c r="L40" s="276">
        <v>5</v>
      </c>
      <c r="M40" s="514">
        <v>8167.5</v>
      </c>
      <c r="N40" s="515">
        <v>1300</v>
      </c>
      <c r="O40" s="516">
        <v>637877</v>
      </c>
      <c r="P40" s="517">
        <v>73245</v>
      </c>
      <c r="Q40" s="285">
        <v>40914</v>
      </c>
    </row>
    <row r="41" spans="1:17" ht="15.75">
      <c r="A41" s="253"/>
      <c r="B41" s="253"/>
      <c r="C41" s="253"/>
      <c r="D41" s="253"/>
      <c r="E41" s="252"/>
      <c r="F41" s="242" t="s">
        <v>54</v>
      </c>
      <c r="G41" s="518" t="s">
        <v>106</v>
      </c>
      <c r="H41" s="65" t="s">
        <v>114</v>
      </c>
      <c r="I41" s="290">
        <v>40879</v>
      </c>
      <c r="J41" s="68" t="s">
        <v>8</v>
      </c>
      <c r="K41" s="372">
        <v>39</v>
      </c>
      <c r="L41" s="388">
        <v>5</v>
      </c>
      <c r="M41" s="423">
        <v>6888</v>
      </c>
      <c r="N41" s="424">
        <v>1032</v>
      </c>
      <c r="O41" s="393">
        <v>207860</v>
      </c>
      <c r="P41" s="398">
        <v>22859</v>
      </c>
      <c r="Q41" s="499">
        <v>40907</v>
      </c>
    </row>
    <row r="42" spans="1:17" ht="15.75">
      <c r="A42" s="240"/>
      <c r="B42" s="240"/>
      <c r="C42" s="240"/>
      <c r="D42" s="240"/>
      <c r="E42" s="244"/>
      <c r="F42" s="242" t="s">
        <v>54</v>
      </c>
      <c r="G42" s="511" t="s">
        <v>143</v>
      </c>
      <c r="H42" s="65" t="s">
        <v>127</v>
      </c>
      <c r="I42" s="290">
        <v>40893</v>
      </c>
      <c r="J42" s="68" t="s">
        <v>68</v>
      </c>
      <c r="K42" s="372">
        <v>23</v>
      </c>
      <c r="L42" s="373">
        <v>5</v>
      </c>
      <c r="M42" s="423">
        <v>5922</v>
      </c>
      <c r="N42" s="424">
        <v>891</v>
      </c>
      <c r="O42" s="393">
        <f>53228.5+28585+20298.5+8299+5922</f>
        <v>116333</v>
      </c>
      <c r="P42" s="398">
        <f>6440+3537+2691+1237+891</f>
        <v>14796</v>
      </c>
      <c r="Q42" s="285">
        <v>40921</v>
      </c>
    </row>
    <row r="43" spans="1:17" ht="15.75">
      <c r="A43" s="253"/>
      <c r="B43" s="253"/>
      <c r="C43" s="253"/>
      <c r="D43" s="253"/>
      <c r="E43" s="252"/>
      <c r="F43" s="242" t="s">
        <v>54</v>
      </c>
      <c r="G43" s="511" t="s">
        <v>73</v>
      </c>
      <c r="H43" s="67" t="s">
        <v>87</v>
      </c>
      <c r="I43" s="290">
        <v>40858</v>
      </c>
      <c r="J43" s="68" t="s">
        <v>68</v>
      </c>
      <c r="K43" s="372">
        <v>32</v>
      </c>
      <c r="L43" s="373">
        <v>8</v>
      </c>
      <c r="M43" s="423">
        <v>5519</v>
      </c>
      <c r="N43" s="424">
        <v>782</v>
      </c>
      <c r="O43" s="393">
        <f>119417+74006.5+30939.5+15734+17682+7740+3814.5+5519</f>
        <v>274852.5</v>
      </c>
      <c r="P43" s="398">
        <f>12383+8559+4204+1986+2778+1301+707+782</f>
        <v>32700</v>
      </c>
      <c r="Q43" s="499">
        <v>40907</v>
      </c>
    </row>
    <row r="44" spans="1:17" ht="15.75">
      <c r="A44" s="240"/>
      <c r="B44" s="240"/>
      <c r="C44" s="240"/>
      <c r="D44" s="240"/>
      <c r="E44" s="244"/>
      <c r="F44" s="242" t="s">
        <v>54</v>
      </c>
      <c r="G44" s="518" t="s">
        <v>106</v>
      </c>
      <c r="H44" s="65" t="s">
        <v>114</v>
      </c>
      <c r="I44" s="290">
        <v>40879</v>
      </c>
      <c r="J44" s="68" t="s">
        <v>8</v>
      </c>
      <c r="K44" s="350">
        <v>39</v>
      </c>
      <c r="L44" s="266">
        <v>6</v>
      </c>
      <c r="M44" s="493">
        <v>5509</v>
      </c>
      <c r="N44" s="494">
        <v>890</v>
      </c>
      <c r="O44" s="495">
        <v>213369</v>
      </c>
      <c r="P44" s="496">
        <v>23749</v>
      </c>
      <c r="Q44" s="285">
        <v>40914</v>
      </c>
    </row>
    <row r="45" spans="1:17" ht="15.75">
      <c r="A45" s="240"/>
      <c r="B45" s="240"/>
      <c r="C45" s="240"/>
      <c r="D45" s="240"/>
      <c r="E45" s="244"/>
      <c r="F45" s="242" t="s">
        <v>54</v>
      </c>
      <c r="G45" s="518" t="s">
        <v>106</v>
      </c>
      <c r="H45" s="65" t="s">
        <v>114</v>
      </c>
      <c r="I45" s="290">
        <v>40879</v>
      </c>
      <c r="J45" s="68" t="s">
        <v>8</v>
      </c>
      <c r="K45" s="372">
        <v>39</v>
      </c>
      <c r="L45" s="388">
        <v>7</v>
      </c>
      <c r="M45" s="421">
        <v>4931</v>
      </c>
      <c r="N45" s="422">
        <v>847</v>
      </c>
      <c r="O45" s="393">
        <v>216338</v>
      </c>
      <c r="P45" s="398">
        <v>24246</v>
      </c>
      <c r="Q45" s="285">
        <v>40921</v>
      </c>
    </row>
    <row r="46" spans="1:17" ht="15.75">
      <c r="A46" s="240"/>
      <c r="B46" s="240"/>
      <c r="C46" s="240"/>
      <c r="D46" s="240"/>
      <c r="E46" s="244"/>
      <c r="F46" s="242" t="s">
        <v>54</v>
      </c>
      <c r="G46" s="504" t="s">
        <v>148</v>
      </c>
      <c r="H46" s="68" t="s">
        <v>112</v>
      </c>
      <c r="I46" s="290">
        <v>40900</v>
      </c>
      <c r="J46" s="68" t="s">
        <v>52</v>
      </c>
      <c r="K46" s="353">
        <v>14</v>
      </c>
      <c r="L46" s="276">
        <v>3</v>
      </c>
      <c r="M46" s="523">
        <v>4777</v>
      </c>
      <c r="N46" s="524">
        <v>439</v>
      </c>
      <c r="O46" s="525">
        <f>43848.5+19458.5+4777</f>
        <v>68084</v>
      </c>
      <c r="P46" s="526">
        <f>3764+1850+439</f>
        <v>6053</v>
      </c>
      <c r="Q46" s="285">
        <v>40914</v>
      </c>
    </row>
    <row r="47" spans="1:17" ht="15.75">
      <c r="A47" s="256"/>
      <c r="B47" s="256"/>
      <c r="C47" s="240"/>
      <c r="D47" s="256"/>
      <c r="E47" s="244"/>
      <c r="F47" s="242" t="s">
        <v>54</v>
      </c>
      <c r="G47" s="513" t="s">
        <v>120</v>
      </c>
      <c r="H47" s="65" t="s">
        <v>122</v>
      </c>
      <c r="I47" s="290">
        <v>40886</v>
      </c>
      <c r="J47" s="68" t="s">
        <v>121</v>
      </c>
      <c r="K47" s="372">
        <v>82</v>
      </c>
      <c r="L47" s="394">
        <v>6</v>
      </c>
      <c r="M47" s="429">
        <v>4728</v>
      </c>
      <c r="N47" s="430">
        <v>758</v>
      </c>
      <c r="O47" s="408">
        <v>642785</v>
      </c>
      <c r="P47" s="409">
        <v>74003</v>
      </c>
      <c r="Q47" s="285">
        <v>40921</v>
      </c>
    </row>
    <row r="48" spans="1:17" ht="15.75">
      <c r="A48" s="240"/>
      <c r="B48" s="240"/>
      <c r="C48" s="240"/>
      <c r="D48" s="240"/>
      <c r="E48" s="244"/>
      <c r="F48" s="242" t="s">
        <v>54</v>
      </c>
      <c r="G48" s="511" t="s">
        <v>269</v>
      </c>
      <c r="H48" s="65" t="s">
        <v>284</v>
      </c>
      <c r="I48" s="290">
        <v>40809</v>
      </c>
      <c r="J48" s="68" t="s">
        <v>68</v>
      </c>
      <c r="K48" s="350">
        <v>66</v>
      </c>
      <c r="L48" s="492">
        <v>16</v>
      </c>
      <c r="M48" s="493">
        <v>4669.5</v>
      </c>
      <c r="N48" s="494">
        <v>1220</v>
      </c>
      <c r="O48" s="495">
        <f>382290+386122+344313.5+244996+104138.75+43618.5+27632+12528+6812+832+1782+2257+1782+5477.5+2138.5+4669.5</f>
        <v>1571389.25</v>
      </c>
      <c r="P48" s="496">
        <f>34863+36137+32260+23896+12188+5940+2894+1417+1234+90+446+565+446+1293+535+1220</f>
        <v>155424</v>
      </c>
      <c r="Q48" s="285">
        <v>40914</v>
      </c>
    </row>
    <row r="49" spans="1:17" ht="15.75">
      <c r="A49" s="240"/>
      <c r="B49" s="240"/>
      <c r="C49" s="240"/>
      <c r="D49" s="240"/>
      <c r="E49" s="244"/>
      <c r="F49" s="242" t="s">
        <v>54</v>
      </c>
      <c r="G49" s="511" t="s">
        <v>361</v>
      </c>
      <c r="H49" s="67" t="s">
        <v>375</v>
      </c>
      <c r="I49" s="290">
        <v>40676</v>
      </c>
      <c r="J49" s="68" t="s">
        <v>68</v>
      </c>
      <c r="K49" s="350">
        <v>10</v>
      </c>
      <c r="L49" s="492">
        <v>20</v>
      </c>
      <c r="M49" s="493">
        <v>3801.5</v>
      </c>
      <c r="N49" s="494">
        <v>950</v>
      </c>
      <c r="O49" s="495">
        <f>19776.5+5289.5+3941.5+4149+6030.5+491+2263+886+669+235+576+182+578+116+1188+1782+1782+1782+1782+3801.5</f>
        <v>57300.5</v>
      </c>
      <c r="P49" s="496">
        <f>2214+710+772+646+1024+103+434+139+105+46+100+16+62+13+297+446+446+446+446+950</f>
        <v>9415</v>
      </c>
      <c r="Q49" s="285">
        <v>40914</v>
      </c>
    </row>
    <row r="50" spans="1:17" ht="15.75">
      <c r="A50" s="240"/>
      <c r="B50" s="240"/>
      <c r="C50" s="240"/>
      <c r="D50" s="240"/>
      <c r="E50" s="244"/>
      <c r="F50" s="242" t="s">
        <v>54</v>
      </c>
      <c r="G50" s="511" t="s">
        <v>416</v>
      </c>
      <c r="H50" s="67" t="s">
        <v>218</v>
      </c>
      <c r="I50" s="290">
        <v>40627</v>
      </c>
      <c r="J50" s="68" t="s">
        <v>68</v>
      </c>
      <c r="K50" s="372">
        <v>137</v>
      </c>
      <c r="L50" s="373">
        <v>25</v>
      </c>
      <c r="M50" s="423">
        <v>3801.5</v>
      </c>
      <c r="N50" s="424">
        <v>950</v>
      </c>
      <c r="O50" s="393">
        <f>1066061.5+1061275+813239.75+606216+468367.5+266511+137274.5+89937.5+9478+4671.5+2215.5+593.5+2273.5+2234+1858+10514.5+2603+2122+2001+349+713+2613.5+475.5+3801.5</f>
        <v>4557399.75</v>
      </c>
      <c r="P50" s="398">
        <f>110278+106719+82858+62672+50883+32012+17904+13463+1427+637+352+91+261+268+240+2410+402+325+272+26+178+653+109+950</f>
        <v>485390</v>
      </c>
      <c r="Q50" s="285">
        <v>40921</v>
      </c>
    </row>
    <row r="51" spans="1:17" ht="15.75">
      <c r="A51" s="240"/>
      <c r="B51" s="240"/>
      <c r="C51" s="240"/>
      <c r="D51" s="240"/>
      <c r="E51" s="244"/>
      <c r="F51" s="242" t="s">
        <v>54</v>
      </c>
      <c r="G51" s="511" t="s">
        <v>67</v>
      </c>
      <c r="H51" s="67" t="s">
        <v>85</v>
      </c>
      <c r="I51" s="290">
        <v>40844</v>
      </c>
      <c r="J51" s="68" t="s">
        <v>68</v>
      </c>
      <c r="K51" s="350">
        <v>278</v>
      </c>
      <c r="L51" s="492">
        <v>11</v>
      </c>
      <c r="M51" s="493">
        <v>3397.5</v>
      </c>
      <c r="N51" s="494">
        <v>737</v>
      </c>
      <c r="O51" s="495">
        <f>2021467.25+4147826.75+1641146.5+1086471.5+837723.5+353523.5+115157+12431.5+1554+13261.5+3397.5</f>
        <v>10233960.5</v>
      </c>
      <c r="P51" s="496">
        <f>231121+459388+190384+130345+104513+46481+14878+1830+250+1860+737</f>
        <v>1181787</v>
      </c>
      <c r="Q51" s="285">
        <v>40914</v>
      </c>
    </row>
    <row r="52" spans="1:17" ht="15.75">
      <c r="A52" s="255"/>
      <c r="B52" s="255"/>
      <c r="C52" s="240"/>
      <c r="D52" s="255"/>
      <c r="E52" s="244"/>
      <c r="F52" s="242" t="s">
        <v>54</v>
      </c>
      <c r="G52" s="471" t="s">
        <v>338</v>
      </c>
      <c r="H52" s="70" t="s">
        <v>341</v>
      </c>
      <c r="I52" s="290">
        <v>40830</v>
      </c>
      <c r="J52" s="68" t="s">
        <v>53</v>
      </c>
      <c r="K52" s="354">
        <v>142</v>
      </c>
      <c r="L52" s="507">
        <v>12</v>
      </c>
      <c r="M52" s="508">
        <v>2402</v>
      </c>
      <c r="N52" s="501">
        <v>480</v>
      </c>
      <c r="O52" s="509">
        <f>248732+139942.5+41015.5+4968+2270+1973+10279+6007+1097+295+261+2402</f>
        <v>459242</v>
      </c>
      <c r="P52" s="503">
        <f>33636+19210+5940+800+378+422+1552+983+159+45+36+480</f>
        <v>63641</v>
      </c>
      <c r="Q52" s="285">
        <v>40914</v>
      </c>
    </row>
    <row r="53" spans="1:17" ht="15.75">
      <c r="A53" s="253"/>
      <c r="B53" s="253"/>
      <c r="C53" s="253"/>
      <c r="D53" s="253"/>
      <c r="E53" s="252"/>
      <c r="F53" s="242" t="s">
        <v>54</v>
      </c>
      <c r="G53" s="511" t="s">
        <v>269</v>
      </c>
      <c r="H53" s="65" t="s">
        <v>284</v>
      </c>
      <c r="I53" s="290">
        <v>40809</v>
      </c>
      <c r="J53" s="68" t="s">
        <v>68</v>
      </c>
      <c r="K53" s="372">
        <v>66</v>
      </c>
      <c r="L53" s="510">
        <v>15</v>
      </c>
      <c r="M53" s="423">
        <v>2138.5</v>
      </c>
      <c r="N53" s="424">
        <v>535</v>
      </c>
      <c r="O53" s="393">
        <f>382290+386122+344313.5+244996+104138.75+43618.5+27632+12528+6812+832+1782+2257+1782+5477.5+2138.5</f>
        <v>1566719.75</v>
      </c>
      <c r="P53" s="398">
        <f>34863+36137+32260+23896+12188+5940+2894+1417+1234+90+446+565+446+1293+535</f>
        <v>154204</v>
      </c>
      <c r="Q53" s="499">
        <v>40907</v>
      </c>
    </row>
    <row r="54" spans="1:17" ht="15.75">
      <c r="A54" s="240"/>
      <c r="B54" s="240"/>
      <c r="C54" s="240"/>
      <c r="D54" s="240"/>
      <c r="E54" s="244"/>
      <c r="F54" s="242" t="s">
        <v>54</v>
      </c>
      <c r="G54" s="511" t="s">
        <v>361</v>
      </c>
      <c r="H54" s="67" t="s">
        <v>375</v>
      </c>
      <c r="I54" s="290">
        <v>40676</v>
      </c>
      <c r="J54" s="68" t="s">
        <v>68</v>
      </c>
      <c r="K54" s="372">
        <v>10</v>
      </c>
      <c r="L54" s="373">
        <v>21</v>
      </c>
      <c r="M54" s="423">
        <v>2138.5</v>
      </c>
      <c r="N54" s="424">
        <v>535</v>
      </c>
      <c r="O54" s="393">
        <f>19776.5+5289.5+3941.5+4149+6030.5+491+2263+886+669+235+576+182+578+116+1188+1782+1782+1782+1782+3801.5+2138.5</f>
        <v>59439</v>
      </c>
      <c r="P54" s="398">
        <f>2214+710+772+646+1024+103+434+139+105+46+100+16+62+13+297+446+446+446+446+950+535</f>
        <v>9950</v>
      </c>
      <c r="Q54" s="285">
        <v>40921</v>
      </c>
    </row>
    <row r="55" spans="1:17" ht="15.75">
      <c r="A55" s="240"/>
      <c r="B55" s="240"/>
      <c r="C55" s="240"/>
      <c r="D55" s="240"/>
      <c r="E55" s="244"/>
      <c r="F55" s="242" t="s">
        <v>54</v>
      </c>
      <c r="G55" s="504" t="s">
        <v>77</v>
      </c>
      <c r="H55" s="68" t="s">
        <v>188</v>
      </c>
      <c r="I55" s="290">
        <v>40865</v>
      </c>
      <c r="J55" s="68" t="s">
        <v>52</v>
      </c>
      <c r="K55" s="353">
        <v>64</v>
      </c>
      <c r="L55" s="276">
        <v>8</v>
      </c>
      <c r="M55" s="523">
        <v>1985</v>
      </c>
      <c r="N55" s="524">
        <v>352</v>
      </c>
      <c r="O55" s="525">
        <f>256046+137037.5+20115+5099+3542+3484.5+1302+1985</f>
        <v>428611</v>
      </c>
      <c r="P55" s="526">
        <f>25390+13650+2140+705+587+707+246+352</f>
        <v>43777</v>
      </c>
      <c r="Q55" s="285">
        <v>40914</v>
      </c>
    </row>
    <row r="56" spans="1:17" ht="15.75">
      <c r="A56" s="240"/>
      <c r="B56" s="240"/>
      <c r="C56" s="240"/>
      <c r="D56" s="240"/>
      <c r="E56" s="244"/>
      <c r="F56" s="242" t="s">
        <v>54</v>
      </c>
      <c r="G56" s="518" t="s">
        <v>304</v>
      </c>
      <c r="H56" s="65" t="s">
        <v>112</v>
      </c>
      <c r="I56" s="290">
        <v>40886</v>
      </c>
      <c r="J56" s="68" t="s">
        <v>52</v>
      </c>
      <c r="K56" s="410">
        <v>8</v>
      </c>
      <c r="L56" s="394">
        <v>5</v>
      </c>
      <c r="M56" s="425">
        <v>1920</v>
      </c>
      <c r="N56" s="426">
        <v>379</v>
      </c>
      <c r="O56" s="399">
        <f>11392+5145+695+1862+1920</f>
        <v>21014</v>
      </c>
      <c r="P56" s="382">
        <f>1392+701+109+241+379</f>
        <v>2822</v>
      </c>
      <c r="Q56" s="285">
        <v>40921</v>
      </c>
    </row>
    <row r="57" spans="1:17" ht="15.75">
      <c r="A57" s="253"/>
      <c r="B57" s="253"/>
      <c r="C57" s="253"/>
      <c r="D57" s="253"/>
      <c r="E57" s="252"/>
      <c r="F57" s="242" t="s">
        <v>54</v>
      </c>
      <c r="G57" s="518" t="s">
        <v>304</v>
      </c>
      <c r="H57" s="65" t="s">
        <v>112</v>
      </c>
      <c r="I57" s="290">
        <v>40886</v>
      </c>
      <c r="J57" s="68" t="s">
        <v>52</v>
      </c>
      <c r="K57" s="410">
        <v>8</v>
      </c>
      <c r="L57" s="394">
        <v>4</v>
      </c>
      <c r="M57" s="527">
        <v>1862</v>
      </c>
      <c r="N57" s="528">
        <v>241</v>
      </c>
      <c r="O57" s="378">
        <f>11392+5145+695+1862</f>
        <v>19094</v>
      </c>
      <c r="P57" s="382">
        <f>1392+701+109+241</f>
        <v>2443</v>
      </c>
      <c r="Q57" s="499">
        <v>40907</v>
      </c>
    </row>
    <row r="58" spans="1:17" ht="15.75">
      <c r="A58" s="240"/>
      <c r="B58" s="240"/>
      <c r="C58" s="240"/>
      <c r="D58" s="240"/>
      <c r="E58" s="244"/>
      <c r="F58" s="242" t="s">
        <v>54</v>
      </c>
      <c r="G58" s="511" t="s">
        <v>364</v>
      </c>
      <c r="H58" s="67" t="s">
        <v>377</v>
      </c>
      <c r="I58" s="290">
        <v>40795</v>
      </c>
      <c r="J58" s="68" t="s">
        <v>68</v>
      </c>
      <c r="K58" s="350">
        <v>3</v>
      </c>
      <c r="L58" s="492">
        <v>8</v>
      </c>
      <c r="M58" s="493">
        <v>1782</v>
      </c>
      <c r="N58" s="494">
        <v>446</v>
      </c>
      <c r="O58" s="495">
        <f>4125+2511+398+1048+854+482+594+1782</f>
        <v>11794</v>
      </c>
      <c r="P58" s="496">
        <f>422+287+52+100+134+61+149+446</f>
        <v>1651</v>
      </c>
      <c r="Q58" s="285">
        <v>40914</v>
      </c>
    </row>
    <row r="59" spans="1:17" ht="15.75">
      <c r="A59" s="265"/>
      <c r="B59" s="265"/>
      <c r="C59" s="253"/>
      <c r="D59" s="265"/>
      <c r="E59" s="252"/>
      <c r="F59" s="242" t="s">
        <v>54</v>
      </c>
      <c r="G59" s="471" t="s">
        <v>66</v>
      </c>
      <c r="H59" s="70" t="s">
        <v>81</v>
      </c>
      <c r="I59" s="290">
        <v>40844</v>
      </c>
      <c r="J59" s="68" t="s">
        <v>53</v>
      </c>
      <c r="K59" s="387">
        <v>245</v>
      </c>
      <c r="L59" s="403">
        <v>10</v>
      </c>
      <c r="M59" s="505">
        <v>1680</v>
      </c>
      <c r="N59" s="506">
        <v>262</v>
      </c>
      <c r="O59" s="404">
        <f>2095427.5+1865707+650031+295029.5+57559.5+69427+8354+22014.5+2923+1680</f>
        <v>5068153</v>
      </c>
      <c r="P59" s="405">
        <f>212522+189875+68849+32548+6112+10910+1695+4739+564+262</f>
        <v>528076</v>
      </c>
      <c r="Q59" s="499">
        <v>40907</v>
      </c>
    </row>
    <row r="60" spans="1:17" ht="15.75">
      <c r="A60" s="253"/>
      <c r="B60" s="253"/>
      <c r="C60" s="253"/>
      <c r="D60" s="253"/>
      <c r="E60" s="252"/>
      <c r="F60" s="242" t="s">
        <v>54</v>
      </c>
      <c r="G60" s="504" t="s">
        <v>77</v>
      </c>
      <c r="H60" s="68" t="s">
        <v>188</v>
      </c>
      <c r="I60" s="290">
        <v>40865</v>
      </c>
      <c r="J60" s="68" t="s">
        <v>52</v>
      </c>
      <c r="K60" s="406">
        <v>64</v>
      </c>
      <c r="L60" s="394">
        <v>7</v>
      </c>
      <c r="M60" s="527">
        <v>1302</v>
      </c>
      <c r="N60" s="528">
        <v>246</v>
      </c>
      <c r="O60" s="378">
        <f>256046+137037.5+20115+5099+3542+3484.5+1302</f>
        <v>426626</v>
      </c>
      <c r="P60" s="382">
        <f>25390+13650+2140+705+587+707+246</f>
        <v>43425</v>
      </c>
      <c r="Q60" s="499">
        <v>40907</v>
      </c>
    </row>
    <row r="61" spans="1:17" ht="15.75">
      <c r="A61" s="240"/>
      <c r="B61" s="240"/>
      <c r="C61" s="240"/>
      <c r="D61" s="240"/>
      <c r="E61" s="244"/>
      <c r="F61" s="242" t="s">
        <v>54</v>
      </c>
      <c r="G61" s="504" t="s">
        <v>148</v>
      </c>
      <c r="H61" s="68" t="s">
        <v>112</v>
      </c>
      <c r="I61" s="290">
        <v>40900</v>
      </c>
      <c r="J61" s="68" t="s">
        <v>52</v>
      </c>
      <c r="K61" s="406">
        <v>14</v>
      </c>
      <c r="L61" s="394">
        <v>4</v>
      </c>
      <c r="M61" s="425">
        <v>1091</v>
      </c>
      <c r="N61" s="426">
        <v>142</v>
      </c>
      <c r="O61" s="399">
        <f>43848.5+19458.5+4777+1091</f>
        <v>69175</v>
      </c>
      <c r="P61" s="382">
        <f>3764+1850+439+142</f>
        <v>6195</v>
      </c>
      <c r="Q61" s="285">
        <v>40921</v>
      </c>
    </row>
    <row r="62" spans="1:17" ht="15.75">
      <c r="A62" s="240"/>
      <c r="B62" s="240"/>
      <c r="C62" s="240"/>
      <c r="D62" s="240"/>
      <c r="E62" s="244"/>
      <c r="F62" s="242" t="s">
        <v>54</v>
      </c>
      <c r="G62" s="518" t="s">
        <v>71</v>
      </c>
      <c r="H62" s="65" t="s">
        <v>82</v>
      </c>
      <c r="I62" s="291">
        <v>40858</v>
      </c>
      <c r="J62" s="68" t="s">
        <v>53</v>
      </c>
      <c r="K62" s="350">
        <v>130</v>
      </c>
      <c r="L62" s="507">
        <v>2</v>
      </c>
      <c r="M62" s="508">
        <v>1085</v>
      </c>
      <c r="N62" s="501">
        <v>179</v>
      </c>
      <c r="O62" s="509">
        <f>665902+436506+215139.5+18371+13790+6539+18719+8754+1085</f>
        <v>1384805.5</v>
      </c>
      <c r="P62" s="503">
        <f>66262+44749+24699+2311+1764+1135+3015+1547+179</f>
        <v>145661</v>
      </c>
      <c r="Q62" s="285">
        <v>40914</v>
      </c>
    </row>
    <row r="63" spans="1:17" ht="15.75">
      <c r="A63" s="240"/>
      <c r="B63" s="240"/>
      <c r="C63" s="240"/>
      <c r="D63" s="240"/>
      <c r="E63" s="244"/>
      <c r="F63" s="242" t="s">
        <v>54</v>
      </c>
      <c r="G63" s="511" t="s">
        <v>269</v>
      </c>
      <c r="H63" s="65" t="s">
        <v>284</v>
      </c>
      <c r="I63" s="290">
        <v>40809</v>
      </c>
      <c r="J63" s="68" t="s">
        <v>68</v>
      </c>
      <c r="K63" s="372">
        <v>66</v>
      </c>
      <c r="L63" s="373">
        <v>17</v>
      </c>
      <c r="M63" s="423">
        <v>970</v>
      </c>
      <c r="N63" s="424">
        <v>404</v>
      </c>
      <c r="O63" s="393">
        <f>382290+386122+344313.5+244996+104138.75+43618.5+27632+12528+6812+832+1782+2257+1782+5477.5+2138.5+4669.5+970</f>
        <v>1572359.25</v>
      </c>
      <c r="P63" s="398">
        <f>34863+36137+32260+23896+12188+5940+2894+1417+1234+90+446+565+446+1293+535+1220+404</f>
        <v>155828</v>
      </c>
      <c r="Q63" s="285">
        <v>40921</v>
      </c>
    </row>
    <row r="64" spans="1:17" ht="15.75">
      <c r="A64" s="253"/>
      <c r="B64" s="253"/>
      <c r="C64" s="253"/>
      <c r="D64" s="253"/>
      <c r="E64" s="252"/>
      <c r="F64" s="242" t="s">
        <v>54</v>
      </c>
      <c r="G64" s="511" t="s">
        <v>270</v>
      </c>
      <c r="H64" s="65" t="s">
        <v>283</v>
      </c>
      <c r="I64" s="291">
        <v>40095</v>
      </c>
      <c r="J64" s="68" t="s">
        <v>68</v>
      </c>
      <c r="K64" s="372">
        <v>52</v>
      </c>
      <c r="L64" s="373">
        <v>16</v>
      </c>
      <c r="M64" s="423">
        <v>952</v>
      </c>
      <c r="N64" s="424">
        <v>238</v>
      </c>
      <c r="O64" s="393">
        <f>108013.25+68864+27976+10214+2402+2209+1188+2968+1780+1780+2427.4+364.82+248.58+1780+1188+952</f>
        <v>234355.05</v>
      </c>
      <c r="P64" s="398">
        <f>12202+8144+4339+1841+481+460+297+742+445+445+599+87+57+445+297+238</f>
        <v>31119</v>
      </c>
      <c r="Q64" s="499">
        <v>40907</v>
      </c>
    </row>
    <row r="65" spans="1:17" ht="15.75">
      <c r="A65" s="240"/>
      <c r="B65" s="240"/>
      <c r="C65" s="240"/>
      <c r="D65" s="240"/>
      <c r="E65" s="244"/>
      <c r="F65" s="242" t="s">
        <v>54</v>
      </c>
      <c r="G65" s="511" t="s">
        <v>73</v>
      </c>
      <c r="H65" s="67" t="s">
        <v>87</v>
      </c>
      <c r="I65" s="290">
        <v>40858</v>
      </c>
      <c r="J65" s="68" t="s">
        <v>68</v>
      </c>
      <c r="K65" s="350">
        <v>32</v>
      </c>
      <c r="L65" s="492">
        <v>9</v>
      </c>
      <c r="M65" s="493">
        <v>937</v>
      </c>
      <c r="N65" s="494">
        <v>165</v>
      </c>
      <c r="O65" s="495">
        <f>119417+74006.5+30939.5+15734+17682+7740+3814.5+5519+937</f>
        <v>275789.5</v>
      </c>
      <c r="P65" s="496">
        <f>12383+8559+4204+1986+2778+1301+707+782+165</f>
        <v>32865</v>
      </c>
      <c r="Q65" s="285">
        <v>40914</v>
      </c>
    </row>
    <row r="66" spans="1:17" ht="15.75">
      <c r="A66" s="255"/>
      <c r="B66" s="255"/>
      <c r="C66" s="240"/>
      <c r="D66" s="255"/>
      <c r="E66" s="251" t="s">
        <v>55</v>
      </c>
      <c r="F66" s="242" t="s">
        <v>54</v>
      </c>
      <c r="G66" s="504" t="s">
        <v>74</v>
      </c>
      <c r="H66" s="71" t="s">
        <v>80</v>
      </c>
      <c r="I66" s="290">
        <v>40851</v>
      </c>
      <c r="J66" s="68" t="s">
        <v>53</v>
      </c>
      <c r="K66" s="387">
        <v>247</v>
      </c>
      <c r="L66" s="403">
        <v>11</v>
      </c>
      <c r="M66" s="419">
        <v>754</v>
      </c>
      <c r="N66" s="420">
        <v>104</v>
      </c>
      <c r="O66" s="404">
        <f>2260223+2366876.75+3859638+3137342+1906742.5+252.25+1189485.5+474275+250512+184428+13126+754</f>
        <v>15643655</v>
      </c>
      <c r="P66" s="405">
        <f>286038+329194+554088+452220+278080+42+178270+68355+40409+33224+1975+104</f>
        <v>2221999</v>
      </c>
      <c r="Q66" s="285">
        <v>40921</v>
      </c>
    </row>
    <row r="67" spans="1:17" ht="15.75">
      <c r="A67" s="240"/>
      <c r="B67" s="240"/>
      <c r="C67" s="240"/>
      <c r="D67" s="240"/>
      <c r="E67" s="244"/>
      <c r="F67" s="242" t="s">
        <v>54</v>
      </c>
      <c r="G67" s="518" t="s">
        <v>71</v>
      </c>
      <c r="H67" s="65" t="s">
        <v>82</v>
      </c>
      <c r="I67" s="291">
        <v>40858</v>
      </c>
      <c r="J67" s="68" t="s">
        <v>53</v>
      </c>
      <c r="K67" s="372">
        <v>130</v>
      </c>
      <c r="L67" s="403">
        <v>1</v>
      </c>
      <c r="M67" s="419">
        <v>753</v>
      </c>
      <c r="N67" s="420">
        <v>111</v>
      </c>
      <c r="O67" s="404">
        <f>665902+436506+215139.5+18371+13790+6539+18719+8754+1085+753</f>
        <v>1385558.5</v>
      </c>
      <c r="P67" s="405">
        <f>66262+44749+24699+2311+1764+1135+3015+1547+179+111</f>
        <v>145772</v>
      </c>
      <c r="Q67" s="285">
        <v>40921</v>
      </c>
    </row>
    <row r="68" spans="1:17" ht="15.75">
      <c r="A68" s="240"/>
      <c r="B68" s="240"/>
      <c r="C68" s="240"/>
      <c r="D68" s="240"/>
      <c r="E68" s="244"/>
      <c r="F68" s="242" t="s">
        <v>54</v>
      </c>
      <c r="G68" s="511" t="s">
        <v>73</v>
      </c>
      <c r="H68" s="67" t="s">
        <v>87</v>
      </c>
      <c r="I68" s="290">
        <v>40858</v>
      </c>
      <c r="J68" s="68" t="s">
        <v>68</v>
      </c>
      <c r="K68" s="372">
        <v>32</v>
      </c>
      <c r="L68" s="373">
        <v>10</v>
      </c>
      <c r="M68" s="423">
        <v>732</v>
      </c>
      <c r="N68" s="424">
        <v>115</v>
      </c>
      <c r="O68" s="393">
        <f>119417+74006.5+30939.5+15734+17682+7740+3814.5+5519+937+732</f>
        <v>276521.5</v>
      </c>
      <c r="P68" s="398">
        <f>12383+8559+4204+1986+2778+1301+707+782+165+115</f>
        <v>32980</v>
      </c>
      <c r="Q68" s="285">
        <v>40921</v>
      </c>
    </row>
    <row r="69" spans="1:17" ht="15.75">
      <c r="A69" s="240"/>
      <c r="B69" s="240"/>
      <c r="C69" s="253"/>
      <c r="D69" s="240"/>
      <c r="E69" s="252"/>
      <c r="F69" s="242" t="s">
        <v>54</v>
      </c>
      <c r="G69" s="472" t="s">
        <v>237</v>
      </c>
      <c r="H69" s="68" t="s">
        <v>238</v>
      </c>
      <c r="I69" s="290">
        <v>40613</v>
      </c>
      <c r="J69" s="68" t="s">
        <v>13</v>
      </c>
      <c r="K69" s="512">
        <v>25</v>
      </c>
      <c r="L69" s="373">
        <v>19</v>
      </c>
      <c r="M69" s="419">
        <v>594</v>
      </c>
      <c r="N69" s="420">
        <v>118</v>
      </c>
      <c r="O69" s="381">
        <v>211543.5</v>
      </c>
      <c r="P69" s="382">
        <v>28466</v>
      </c>
      <c r="Q69" s="499">
        <v>40907</v>
      </c>
    </row>
    <row r="70" spans="1:17" ht="15.75">
      <c r="A70" s="255"/>
      <c r="B70" s="255"/>
      <c r="C70" s="240"/>
      <c r="D70" s="255"/>
      <c r="E70" s="244"/>
      <c r="F70" s="242" t="s">
        <v>54</v>
      </c>
      <c r="G70" s="471" t="s">
        <v>66</v>
      </c>
      <c r="H70" s="70" t="s">
        <v>81</v>
      </c>
      <c r="I70" s="290">
        <v>40844</v>
      </c>
      <c r="J70" s="68" t="s">
        <v>53</v>
      </c>
      <c r="K70" s="355">
        <v>245</v>
      </c>
      <c r="L70" s="507">
        <v>11</v>
      </c>
      <c r="M70" s="508">
        <v>573</v>
      </c>
      <c r="N70" s="501">
        <v>94</v>
      </c>
      <c r="O70" s="509">
        <f>2095427.5+1865707+650031+295029.5+57559.5+69427+8354+22014.5+2923+1680+573</f>
        <v>5068726</v>
      </c>
      <c r="P70" s="503">
        <f>212522+189875+68849+32548+6112+10910+1695+4739+564+262+94</f>
        <v>528170</v>
      </c>
      <c r="Q70" s="285">
        <v>40914</v>
      </c>
    </row>
    <row r="71" spans="1:17" ht="15.75">
      <c r="A71" s="240"/>
      <c r="B71" s="240"/>
      <c r="C71" s="240"/>
      <c r="D71" s="240"/>
      <c r="E71" s="244"/>
      <c r="F71" s="242" t="s">
        <v>54</v>
      </c>
      <c r="G71" s="504" t="s">
        <v>77</v>
      </c>
      <c r="H71" s="68" t="s">
        <v>188</v>
      </c>
      <c r="I71" s="290">
        <v>40865</v>
      </c>
      <c r="J71" s="68" t="s">
        <v>52</v>
      </c>
      <c r="K71" s="406">
        <v>64</v>
      </c>
      <c r="L71" s="394">
        <v>9</v>
      </c>
      <c r="M71" s="425">
        <v>195</v>
      </c>
      <c r="N71" s="426">
        <v>31</v>
      </c>
      <c r="O71" s="399">
        <f>256046+137037.5+20115+5099+3542+3484.5+1302+1985+195</f>
        <v>428806</v>
      </c>
      <c r="P71" s="382">
        <f>25390+13650+2140+705+587+707+246+352+31</f>
        <v>43808</v>
      </c>
      <c r="Q71" s="285">
        <v>40921</v>
      </c>
    </row>
  </sheetData>
  <sheetProtection/>
  <mergeCells count="2">
    <mergeCell ref="A1:Q1"/>
    <mergeCell ref="A3:F3"/>
  </mergeCells>
  <printOptions/>
  <pageMargins left="0.7" right="0.7" top="0.75" bottom="0.75" header="0.3" footer="0.3"/>
  <pageSetup orientation="portrait" paperSize="9"/>
  <ignoredErrors>
    <ignoredError sqref="O11:P68 M24:N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2012-01-23T19:13:44Z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