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326" windowWidth="24510" windowHeight="9780" tabRatio="804" activeTab="0"/>
  </bookViews>
  <sheets>
    <sheet name="20-26.01.2012 (week)" sheetId="1" r:id="rId1"/>
    <sheet name="Weekend (TOP 20)" sheetId="2" r:id="rId2"/>
    <sheet name="Week (TOP 20)" sheetId="3" r:id="rId3"/>
    <sheet name="Ex Years' in 2012" sheetId="4" r:id="rId4"/>
    <sheet name="2012 filmleri (ALL)" sheetId="5" r:id="rId5"/>
    <sheet name="Görünüm" sheetId="6" r:id="rId6"/>
    <sheet name="Dağıtımcı ligi" sheetId="7" r:id="rId7"/>
    <sheet name="Türkiye Yapımları 2012" sheetId="8" r:id="rId8"/>
  </sheets>
  <definedNames>
    <definedName name="_xlnm.Print_Area" localSheetId="0">'20-26.01.2012 (week)'!$A$1:$AP$91</definedName>
  </definedNames>
  <calcPr fullCalcOnLoad="1"/>
</workbook>
</file>

<file path=xl/comments7.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43" authorId="0">
      <text>
        <r>
          <rPr>
            <b/>
            <sz val="9"/>
            <rFont val="Tahoma"/>
            <family val="2"/>
          </rPr>
          <t>DY:</t>
        </r>
        <r>
          <rPr>
            <sz val="9"/>
            <rFont val="Tahoma"/>
            <family val="2"/>
          </rPr>
          <t xml:space="preserve">
O hafta sinemalara türk filmi programlayan şirket her belirtilen film başına 0,75 puan alır</t>
        </r>
      </text>
    </comment>
    <comment ref="F43" authorId="0">
      <text>
        <r>
          <rPr>
            <b/>
            <sz val="9"/>
            <rFont val="Tahoma"/>
            <family val="2"/>
          </rPr>
          <t>DY:</t>
        </r>
        <r>
          <rPr>
            <sz val="9"/>
            <rFont val="Tahoma"/>
            <family val="2"/>
          </rPr>
          <t xml:space="preserve">
O hafta sinemalara yabancı filmi programlayan şirket her film belirtilen başına 0,25 puan alır</t>
        </r>
      </text>
    </comment>
    <comment ref="G43" authorId="0">
      <text>
        <r>
          <rPr>
            <b/>
            <sz val="9"/>
            <rFont val="Tahoma"/>
            <family val="2"/>
          </rPr>
          <t>DY:</t>
        </r>
        <r>
          <rPr>
            <sz val="9"/>
            <rFont val="Tahoma"/>
            <family val="2"/>
          </rPr>
          <t xml:space="preserve">
O hafta sinemalara bir türk filmini ilk kez programlayan şirket her belirtilen film başına 3 puan alır</t>
        </r>
      </text>
    </comment>
    <comment ref="H43" authorId="0">
      <text>
        <r>
          <rPr>
            <b/>
            <sz val="9"/>
            <rFont val="Tahoma"/>
            <family val="2"/>
          </rPr>
          <t>DY:</t>
        </r>
        <r>
          <rPr>
            <sz val="9"/>
            <rFont val="Tahoma"/>
            <family val="2"/>
          </rPr>
          <t xml:space="preserve">
O hafta sinemalara bir yabancı filmi ilk kez programlayan şirket her belirtilen film başına 2 puan alır</t>
        </r>
      </text>
    </comment>
    <comment ref="I43" authorId="0">
      <text>
        <r>
          <rPr>
            <b/>
            <sz val="9"/>
            <rFont val="Tahoma"/>
            <family val="2"/>
          </rPr>
          <t>DY:</t>
        </r>
        <r>
          <rPr>
            <sz val="9"/>
            <rFont val="Tahoma"/>
            <family val="2"/>
          </rPr>
          <t xml:space="preserve">
O hafta sinemalara en fazla film programlayan şirketlere 0,75 puan verilir</t>
        </r>
      </text>
    </comment>
    <comment ref="J4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4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4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4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4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4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4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4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4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4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4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57" authorId="0">
      <text>
        <r>
          <rPr>
            <b/>
            <sz val="9"/>
            <rFont val="Tahoma"/>
            <family val="2"/>
          </rPr>
          <t>DY:</t>
        </r>
        <r>
          <rPr>
            <sz val="9"/>
            <rFont val="Tahoma"/>
            <family val="2"/>
          </rPr>
          <t xml:space="preserve">
O hafta sinemalara türk filmi programlayan şirket her belirtilen film başına 0,75 puan alır</t>
        </r>
      </text>
    </comment>
    <comment ref="F57" authorId="0">
      <text>
        <r>
          <rPr>
            <b/>
            <sz val="9"/>
            <rFont val="Tahoma"/>
            <family val="2"/>
          </rPr>
          <t>DY:</t>
        </r>
        <r>
          <rPr>
            <sz val="9"/>
            <rFont val="Tahoma"/>
            <family val="2"/>
          </rPr>
          <t xml:space="preserve">
O hafta sinemalara yabancı filmi programlayan şirket her film belirtilen başına 0,25 puan alır</t>
        </r>
      </text>
    </comment>
    <comment ref="G57" authorId="0">
      <text>
        <r>
          <rPr>
            <b/>
            <sz val="9"/>
            <rFont val="Tahoma"/>
            <family val="2"/>
          </rPr>
          <t>DY:</t>
        </r>
        <r>
          <rPr>
            <sz val="9"/>
            <rFont val="Tahoma"/>
            <family val="2"/>
          </rPr>
          <t xml:space="preserve">
O hafta sinemalara bir türk filmini ilk kez programlayan şirket her belirtilen film başına 3 puan alır</t>
        </r>
      </text>
    </comment>
    <comment ref="H57" authorId="0">
      <text>
        <r>
          <rPr>
            <b/>
            <sz val="9"/>
            <rFont val="Tahoma"/>
            <family val="2"/>
          </rPr>
          <t>DY:</t>
        </r>
        <r>
          <rPr>
            <sz val="9"/>
            <rFont val="Tahoma"/>
            <family val="2"/>
          </rPr>
          <t xml:space="preserve">
O hafta sinemalara bir yabancı filmi ilk kez programlayan şirket her belirtilen film başına 2 puan alır</t>
        </r>
      </text>
    </comment>
    <comment ref="I57" authorId="0">
      <text>
        <r>
          <rPr>
            <b/>
            <sz val="9"/>
            <rFont val="Tahoma"/>
            <family val="2"/>
          </rPr>
          <t>DY:</t>
        </r>
        <r>
          <rPr>
            <sz val="9"/>
            <rFont val="Tahoma"/>
            <family val="2"/>
          </rPr>
          <t xml:space="preserve">
O hafta sinemalara en fazla film programlayan şirketlere 0,75 puan verilir</t>
        </r>
      </text>
    </comment>
    <comment ref="J5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5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5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5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5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5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5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5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5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5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5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<sst xmlns="http://schemas.openxmlformats.org/spreadsheetml/2006/main" count="2922" uniqueCount="548">
  <si>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</si>
  <si>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</si>
  <si>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</si>
  <si>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</si>
  <si>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</si>
  <si>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</si>
  <si>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</si>
  <si>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</si>
  <si>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</si>
  <si>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</si>
  <si>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</si>
  <si>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</si>
  <si>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</si>
  <si>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</si>
  <si>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</si>
  <si>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</si>
  <si>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</si>
  <si>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</si>
  <si>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</si>
  <si>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</si>
  <si>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</si>
  <si>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</si>
  <si>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</si>
  <si>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</si>
  <si>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</si>
  <si>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</si>
  <si>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</si>
  <si>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</si>
  <si>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</si>
  <si>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</si>
  <si>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</si>
  <si>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</si>
  <si>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</si>
  <si>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</si>
  <si>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</si>
  <si>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</si>
  <si>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</si>
  <si>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</si>
  <si>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</si>
  <si>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</si>
  <si>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</si>
  <si>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</si>
  <si>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</si>
  <si>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</si>
  <si>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</si>
  <si>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</si>
  <si>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</si>
  <si>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</si>
  <si>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</si>
  <si>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</si>
  <si>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</si>
  <si>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</si>
  <si>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</si>
  <si>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</si>
  <si>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</si>
  <si>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</si>
  <si>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</si>
  <si>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</si>
  <si>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</si>
  <si>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</si>
  <si>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</si>
  <si>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</si>
  <si>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</si>
  <si>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</si>
  <si>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</si>
  <si>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</si>
  <si>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</si>
  <si>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</si>
  <si>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</si>
  <si>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</si>
  <si>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</si>
  <si>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</si>
  <si>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</si>
  <si>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</si>
  <si>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</si>
  <si>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</si>
  <si>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</si>
  <si>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</si>
  <si>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</si>
  <si>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</si>
  <si>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</si>
  <si>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</si>
  <si>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</si>
  <si>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</si>
  <si>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</si>
  <si>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</si>
  <si>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</si>
  <si>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</si>
  <si>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New Regency Pictures</t>
  </si>
  <si>
    <t>Tiglon</t>
  </si>
  <si>
    <t>Imprint Entertainment</t>
  </si>
  <si>
    <t>Paramount</t>
  </si>
  <si>
    <t>Walt Disney</t>
  </si>
  <si>
    <t>Columbia</t>
  </si>
  <si>
    <t>UIP Türkiye</t>
  </si>
  <si>
    <t>Warner Bros. Türkiye</t>
  </si>
  <si>
    <t>Warner Bros. Pictures</t>
  </si>
  <si>
    <t>Jellystone Films</t>
  </si>
  <si>
    <t>Import</t>
  </si>
  <si>
    <t>Medyavizyon</t>
  </si>
  <si>
    <t>A DANGEROUS METHOD</t>
  </si>
  <si>
    <t>TEHLİKELİ İLİŞKİ</t>
  </si>
  <si>
    <t>Recorded Picture</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</si>
  <si>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</si>
  <si>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</si>
  <si>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</si>
  <si>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</si>
  <si>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</si>
  <si>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</si>
  <si>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</si>
  <si>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</si>
  <si>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</si>
  <si>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</si>
  <si>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</si>
  <si>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</si>
  <si>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</si>
  <si>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</si>
  <si>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</si>
  <si>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Michael De Luca Productions</t>
  </si>
  <si>
    <t>KAZANMA SANATI</t>
  </si>
  <si>
    <t>AY BÜYÜRKEN UYUYAMAM</t>
  </si>
  <si>
    <t>CINE FILM</t>
  </si>
  <si>
    <t>MG Production</t>
  </si>
  <si>
    <t>Galata Film</t>
  </si>
  <si>
    <t>Tmc  Film</t>
  </si>
  <si>
    <t>Endgame</t>
  </si>
  <si>
    <t>Fox</t>
  </si>
  <si>
    <t>Kuzey Film</t>
  </si>
  <si>
    <t>Bir Film</t>
  </si>
  <si>
    <t>Studio Canal</t>
  </si>
  <si>
    <t>ACI TATLI TESADÜFLER</t>
  </si>
  <si>
    <t>LET ME IN</t>
  </si>
  <si>
    <t>Hammer</t>
  </si>
  <si>
    <t>Beta Cinema</t>
  </si>
  <si>
    <t>ALMANYA'YA HOŞGELDİNİZ</t>
  </si>
  <si>
    <t>WILLKOMMEN IN DEUTSCHLAND</t>
  </si>
  <si>
    <t>GİR KANIMA</t>
  </si>
  <si>
    <t>CARNAGE</t>
  </si>
  <si>
    <t>Özen Film</t>
  </si>
  <si>
    <t>ACIMASIZ TANRI</t>
  </si>
  <si>
    <t>Constantin</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</si>
  <si>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</si>
  <si>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</si>
  <si>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</si>
  <si>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</si>
  <si>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</si>
  <si>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</si>
  <si>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</si>
  <si>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</si>
  <si>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</si>
  <si>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</si>
  <si>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</si>
  <si>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</si>
  <si>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</si>
  <si>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</si>
  <si>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</si>
  <si>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</si>
  <si>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</si>
  <si>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</si>
  <si>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</si>
  <si>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</si>
  <si>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</si>
  <si>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</si>
  <si>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</si>
  <si>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Naive</t>
  </si>
  <si>
    <t>AŞKIN FORMÜLÜ YOK</t>
  </si>
  <si>
    <t>Incentive Filmed Entertainment</t>
  </si>
  <si>
    <t>THE HOLE 3D</t>
  </si>
  <si>
    <t>THE DEVIL'S DOUBLE</t>
  </si>
  <si>
    <t>MAHZEN</t>
  </si>
  <si>
    <t>Bold Films</t>
  </si>
  <si>
    <t>Corsan</t>
  </si>
  <si>
    <t>ŞEYTANIN İKİZİ</t>
  </si>
  <si>
    <t>CELAL TAN VE AİLESİNİN ACIKLI HİKAYESİ</t>
  </si>
  <si>
    <t>THE STORY OF LEO</t>
  </si>
  <si>
    <t xml:space="preserve">CATCHER: CAT CITY 2 </t>
  </si>
  <si>
    <t>HORRID HENRY</t>
  </si>
  <si>
    <t>ASLAN KRAL'IN OĞLU LEO</t>
  </si>
  <si>
    <t>KEDİLER ŞEHRİ</t>
  </si>
  <si>
    <t>Vertigo</t>
  </si>
  <si>
    <t>FELAKET HENRY</t>
  </si>
  <si>
    <t>SİHİRLİ OYUNCAKLAR</t>
  </si>
  <si>
    <t>ÖLÜMSÜZLER: TANRILARIN SAVAŞI</t>
  </si>
  <si>
    <t>Goldcrest Post Production</t>
  </si>
  <si>
    <t>Strike Entertainment</t>
  </si>
  <si>
    <t>Adriana Chiesa</t>
  </si>
  <si>
    <t>Umut Sanat</t>
  </si>
  <si>
    <t xml:space="preserve">Colorfront </t>
  </si>
  <si>
    <t>Eflatun Film</t>
  </si>
  <si>
    <t xml:space="preserve">Pinema </t>
  </si>
  <si>
    <t>RED STATE</t>
  </si>
  <si>
    <t>İÇİNDE YAŞADIĞIM DERİ</t>
  </si>
  <si>
    <t>ŞEYTANIN İNİ</t>
  </si>
  <si>
    <t>Canal+ España</t>
  </si>
  <si>
    <t>Sigma Films</t>
  </si>
  <si>
    <t>The Harvey Boys</t>
  </si>
  <si>
    <t>ABDUCTION</t>
  </si>
  <si>
    <t>REAL STEEL</t>
  </si>
  <si>
    <t>RANGO</t>
  </si>
  <si>
    <t>WINNIE THE POOH</t>
  </si>
  <si>
    <t>THE IDES OF MARCH</t>
  </si>
  <si>
    <t>ÇELİK YUMRUKLAR</t>
  </si>
  <si>
    <t>CONAN</t>
  </si>
  <si>
    <t>KAÇIŞ</t>
  </si>
  <si>
    <t>ZİRVEYE GİDEN YOL</t>
  </si>
  <si>
    <t>Cross Creek Pictures</t>
  </si>
  <si>
    <t>D Productions</t>
  </si>
  <si>
    <t>Walt Disney Animation Studios</t>
  </si>
  <si>
    <t>DW Films</t>
  </si>
  <si>
    <t>Angry Films</t>
  </si>
  <si>
    <t>Nu Image Films</t>
  </si>
  <si>
    <t>Sinetel</t>
  </si>
  <si>
    <t>Gotham Group</t>
  </si>
  <si>
    <t>Paramount Pictures</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</si>
  <si>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</si>
  <si>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</si>
  <si>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</si>
  <si>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</si>
  <si>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</si>
  <si>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</si>
  <si>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</si>
  <si>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</si>
  <si>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</si>
  <si>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</si>
  <si>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</si>
  <si>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</si>
  <si>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</si>
  <si>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</si>
  <si>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</si>
  <si>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</si>
  <si>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</si>
  <si>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</si>
  <si>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</si>
  <si>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</si>
  <si>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</si>
  <si>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</si>
  <si>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</si>
  <si>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t>GÖLGELER VE SURETLER</t>
  </si>
  <si>
    <t>Marathon</t>
  </si>
  <si>
    <t>BİR AYRILIK</t>
  </si>
  <si>
    <t>YAĞMURU BİLE</t>
  </si>
  <si>
    <t>ATTACK THE BLOCK</t>
  </si>
  <si>
    <t>UZAYLILARIN ŞAFAĞI</t>
  </si>
  <si>
    <t>KADININ FENDİ</t>
  </si>
  <si>
    <t>SOUND OF NOISE</t>
  </si>
  <si>
    <t>YAŞAMIN RİTMİ</t>
  </si>
  <si>
    <t>ÇÖLDE KUTUP AYISI</t>
  </si>
  <si>
    <t>Wild Bunch</t>
  </si>
  <si>
    <t>Yeni Bir Film</t>
  </si>
  <si>
    <t>MADE IN DAGENHAM - WE WANT SEX</t>
  </si>
  <si>
    <t>Audley Films</t>
  </si>
  <si>
    <t>DE HELAASHEID DER DINGEN - THE MISFORTUNATES</t>
  </si>
  <si>
    <t>Favourite Films</t>
  </si>
  <si>
    <t>GOETHE</t>
  </si>
  <si>
    <t>Senator</t>
  </si>
  <si>
    <t>GOETHE'NİN İLK AŞKI</t>
  </si>
  <si>
    <t>TAMBIEN LA ILUVIA - EVEN THE RAIN</t>
  </si>
  <si>
    <t>Mandarin</t>
  </si>
  <si>
    <t>JOAEIYE NADER AZ SIMIN - A SEPARATION</t>
  </si>
  <si>
    <t>Asghar Farhadi</t>
  </si>
  <si>
    <t>Mars</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</si>
  <si>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</si>
  <si>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</si>
  <si>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</si>
  <si>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</si>
  <si>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</si>
  <si>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</si>
  <si>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</si>
  <si>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</si>
  <si>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</si>
  <si>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</si>
  <si>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</si>
  <si>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</si>
  <si>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</si>
  <si>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</si>
  <si>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Goumont</t>
  </si>
  <si>
    <t>DUBLAJLI FİLMLER</t>
  </si>
  <si>
    <t>BU HAFTA İLK KEZ GÖSTERİLENLER</t>
  </si>
  <si>
    <t>Etiketler</t>
  </si>
  <si>
    <t>Posts</t>
  </si>
  <si>
    <t>SAKLI RUH</t>
  </si>
  <si>
    <t>Caramel</t>
  </si>
  <si>
    <t>HIDDEN 3D</t>
  </si>
  <si>
    <t>Hokus Fokus</t>
  </si>
  <si>
    <t>Zeyno Film</t>
  </si>
  <si>
    <t>SON GECE</t>
  </si>
  <si>
    <t>ÜÇ SİLAHŞÖRLER</t>
  </si>
  <si>
    <t>KATİLİN YÜZÜ</t>
  </si>
  <si>
    <t>ALFA VE OMEGA: EVE DÖNÜŞ MACERASI</t>
  </si>
  <si>
    <t>Crest Animation</t>
  </si>
  <si>
    <t>Forecast</t>
  </si>
  <si>
    <t>ONE DAY</t>
  </si>
  <si>
    <t>S</t>
  </si>
  <si>
    <t>DEVAM VE SERİ FİLMLER</t>
  </si>
  <si>
    <t>Etiketlerin açıklamaları</t>
  </si>
  <si>
    <t>BİR GÜN</t>
  </si>
  <si>
    <t>Color Fors</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</si>
  <si>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</si>
  <si>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</si>
  <si>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</si>
  <si>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</si>
  <si>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</si>
  <si>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</si>
  <si>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</si>
  <si>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</si>
  <si>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</si>
  <si>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</si>
  <si>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</si>
  <si>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</si>
  <si>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</si>
  <si>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</si>
  <si>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</si>
  <si>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</si>
  <si>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</si>
  <si>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</si>
  <si>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</si>
  <si>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</si>
  <si>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</si>
  <si>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</si>
  <si>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</si>
  <si>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</si>
  <si>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</si>
  <si>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</si>
  <si>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</si>
  <si>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</si>
  <si>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</si>
  <si>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</si>
  <si>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</si>
  <si>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</si>
  <si>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</si>
  <si>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</si>
  <si>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</si>
  <si>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</si>
  <si>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</si>
  <si>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</si>
  <si>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</si>
  <si>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</si>
  <si>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</si>
  <si>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</si>
  <si>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</si>
  <si>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</si>
  <si>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</si>
  <si>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</si>
  <si>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</si>
  <si>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</si>
  <si>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</si>
  <si>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</si>
  <si>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</si>
  <si>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</si>
  <si>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t>
  </si>
  <si>
    <t>Lumiq Studios</t>
  </si>
  <si>
    <t>SAFTİRİK GREG'İN GÜNLÜĞÜ: RODRICK KURALLARI</t>
  </si>
  <si>
    <t>KARANLIK SAAT</t>
  </si>
  <si>
    <t>KAR BEYAZ</t>
  </si>
  <si>
    <t>RIO</t>
  </si>
  <si>
    <t>PLANET 51</t>
  </si>
  <si>
    <t>SAÇ</t>
  </si>
  <si>
    <t>ALVIN &amp; THE CHIPMUNKS 2</t>
  </si>
  <si>
    <t>OPEN SEASON 2</t>
  </si>
  <si>
    <t>ÇILGIN DOSTLAR 2</t>
  </si>
  <si>
    <t>Sony Pictures</t>
  </si>
  <si>
    <t>ALVİN VE SİNCAPLAR 2</t>
  </si>
  <si>
    <t>GEZEGEN 51</t>
  </si>
  <si>
    <t>AŞIRICILAR</t>
  </si>
  <si>
    <t>Ağustos</t>
  </si>
  <si>
    <t>Ilion Animation</t>
  </si>
  <si>
    <t>Zuzi Film</t>
  </si>
  <si>
    <t>Studio Gibli</t>
  </si>
  <si>
    <t>KARI-GURASHI NO ARIETTI - THE BORROWERS</t>
  </si>
  <si>
    <r>
      <t xml:space="preserve">DAĞITIMCI ŞİRKETLER PERFORMANS LİGİ - </t>
    </r>
    <r>
      <rPr>
        <b/>
        <sz val="12"/>
        <color indexed="10"/>
        <rFont val="Arial"/>
        <family val="2"/>
      </rPr>
      <t>2. HAFTA (KAPANIŞ) 06 - 12.01.2012</t>
    </r>
  </si>
  <si>
    <t>CHANTIER FILMS</t>
  </si>
  <si>
    <t>73</t>
  </si>
  <si>
    <t>46</t>
  </si>
  <si>
    <t>EYYVAH EYVAH 2</t>
  </si>
  <si>
    <t>MELANCHOLIA</t>
  </si>
  <si>
    <t>MELANKOLİ</t>
  </si>
  <si>
    <t>Zentropa</t>
  </si>
  <si>
    <t>Les Films</t>
  </si>
  <si>
    <t>LA GAMIN AU VELO - THE KID WITH A BIKE</t>
  </si>
  <si>
    <t>BİSİKLETLİ ÇOCUK</t>
  </si>
  <si>
    <t>Son haftasonu</t>
  </si>
  <si>
    <t>ZENNE</t>
  </si>
  <si>
    <t>Cam Film</t>
  </si>
  <si>
    <t>PUSS IN BOOTS</t>
  </si>
  <si>
    <t>ÇİZMELİ KEDİ 3D</t>
  </si>
  <si>
    <t>JOHNNY ENGLISH REBOURNE</t>
  </si>
  <si>
    <t>COWBOYS &amp; ALIENS</t>
  </si>
  <si>
    <t>TOWERHEIST</t>
  </si>
  <si>
    <t>KULE SOYGUNU</t>
  </si>
  <si>
    <t>KOVBOYLAR VE UZAYLILAR</t>
  </si>
  <si>
    <t>JOHNNY ENGISH'İN DÖNÜŞÜ</t>
  </si>
  <si>
    <t>THE GIRL WITH THE DRAGON TATTOO</t>
  </si>
  <si>
    <t>EJDERHA DÖVMELİ KIZ</t>
  </si>
  <si>
    <t>THE IRON LADY</t>
  </si>
  <si>
    <t>Chantier Films</t>
  </si>
  <si>
    <t>DEMİR LEYDİ</t>
  </si>
  <si>
    <t>Film 4</t>
  </si>
  <si>
    <t>Tiglom</t>
  </si>
  <si>
    <t>KAYBEDENLER KULÜBÜ</t>
  </si>
  <si>
    <t>JANE EYRE</t>
  </si>
  <si>
    <t>GULLIVER'S TRAVEL</t>
  </si>
  <si>
    <t>DREI - THREE - 3</t>
  </si>
  <si>
    <t>ÜÇ</t>
  </si>
  <si>
    <t>GULLIVER'İN GEZİLERİ</t>
  </si>
  <si>
    <t>X-Filme Creative</t>
  </si>
  <si>
    <t>Ruby</t>
  </si>
  <si>
    <r>
      <t xml:space="preserve">DAĞITIMCI ŞİRKETLER PERFORMANS LİGİ - </t>
    </r>
    <r>
      <rPr>
        <b/>
        <sz val="12"/>
        <color indexed="10"/>
        <rFont val="Arial"/>
        <family val="2"/>
      </rPr>
      <t>3. HAFTA (KAPANIŞ) 13 - 19.01.2012</t>
    </r>
  </si>
  <si>
    <t>53</t>
  </si>
  <si>
    <t>63</t>
  </si>
  <si>
    <t>VİZYON</t>
  </si>
  <si>
    <t>ÇIKIŞ</t>
  </si>
  <si>
    <t>SON</t>
  </si>
  <si>
    <t>ETİKETLER</t>
  </si>
  <si>
    <t>FİLMİN ORİJİNAL ADI</t>
  </si>
  <si>
    <t>YAPIM</t>
  </si>
  <si>
    <t>İTHALAT</t>
  </si>
  <si>
    <t>TÜRKÇE İSİM</t>
  </si>
  <si>
    <t>TARİHİ</t>
  </si>
  <si>
    <t>İŞLETME</t>
  </si>
  <si>
    <t>KOPYASI</t>
  </si>
  <si>
    <t>ORT.</t>
  </si>
  <si>
    <t>GÖSTERİM</t>
  </si>
  <si>
    <t>Europa Corp.</t>
  </si>
  <si>
    <t>HAFTALIK</t>
  </si>
  <si>
    <t>FİLMİN ADI</t>
  </si>
  <si>
    <r>
      <t xml:space="preserve">Weekend / </t>
    </r>
    <r>
      <rPr>
        <b/>
        <sz val="20"/>
        <color indexed="9"/>
        <rFont val="Candara"/>
        <family val="2"/>
      </rPr>
      <t>04</t>
    </r>
    <r>
      <rPr>
        <b/>
        <sz val="20"/>
        <rFont val="Candara"/>
        <family val="2"/>
      </rPr>
      <t xml:space="preserve"> / Haftasonu: </t>
    </r>
    <r>
      <rPr>
        <b/>
        <u val="single"/>
        <sz val="20"/>
        <rFont val="Candara"/>
        <family val="2"/>
      </rPr>
      <t>20-22.01.2012</t>
    </r>
  </si>
  <si>
    <t>TRANSFORMERS 3: DARK OF THE MOON</t>
  </si>
  <si>
    <t>İÇİMDEKİ ŞEYTAN</t>
  </si>
  <si>
    <t>WEE BOUGHT A ZOO</t>
  </si>
  <si>
    <t>DÜŞLER BAHÇESİ</t>
  </si>
  <si>
    <t>TRANSFORMERS: AY'IN KARANLIK YÜZÜ</t>
  </si>
  <si>
    <t>HAPPY FEET TWO</t>
  </si>
  <si>
    <t>NEŞELİ AYAKLAR 2</t>
  </si>
  <si>
    <t>Animal Logic</t>
  </si>
  <si>
    <t>THE DEVIL INSIDE</t>
  </si>
  <si>
    <r>
      <t xml:space="preserve">TÜRKİYE'S </t>
    </r>
    <r>
      <rPr>
        <b/>
        <u val="single"/>
        <sz val="40"/>
        <rFont val="Calibri"/>
        <family val="2"/>
      </rPr>
      <t>WEEK</t>
    </r>
    <r>
      <rPr>
        <b/>
        <sz val="40"/>
        <rFont val="Calibri"/>
        <family val="2"/>
      </rPr>
      <t xml:space="preserve"> MARKET DATA</t>
    </r>
  </si>
  <si>
    <r>
      <t xml:space="preserve">Week / </t>
    </r>
    <r>
      <rPr>
        <b/>
        <sz val="30"/>
        <color indexed="9"/>
        <rFont val="Candara"/>
        <family val="2"/>
      </rPr>
      <t xml:space="preserve">04 </t>
    </r>
    <r>
      <rPr>
        <b/>
        <sz val="30"/>
        <rFont val="Candara"/>
        <family val="2"/>
      </rPr>
      <t xml:space="preserve">/ Hafta: </t>
    </r>
    <r>
      <rPr>
        <b/>
        <u val="single"/>
        <sz val="30"/>
        <rFont val="Candara"/>
        <family val="2"/>
      </rPr>
      <t>20-26.01.2012</t>
    </r>
  </si>
  <si>
    <r>
      <t xml:space="preserve">Week / </t>
    </r>
    <r>
      <rPr>
        <b/>
        <sz val="20"/>
        <color indexed="9"/>
        <rFont val="Candara"/>
        <family val="2"/>
      </rPr>
      <t>04</t>
    </r>
    <r>
      <rPr>
        <b/>
        <sz val="20"/>
        <rFont val="Candara"/>
        <family val="2"/>
      </rPr>
      <t xml:space="preserve"> / Hafta: </t>
    </r>
    <r>
      <rPr>
        <b/>
        <u val="single"/>
        <sz val="20"/>
        <rFont val="Candara"/>
        <family val="2"/>
      </rPr>
      <t>20-26.01.2012</t>
    </r>
  </si>
  <si>
    <r>
      <t xml:space="preserve">2012'S EX YEARS RELASES - 2012'DE GÖSTERİLEN ÖNCEKİ YILLARIN VİZYON FİLMLERİ </t>
    </r>
    <r>
      <rPr>
        <b/>
        <sz val="11"/>
        <color indexed="10"/>
        <rFont val="Calibri"/>
        <family val="2"/>
      </rPr>
      <t>30.12.2011 - 26.01.2012</t>
    </r>
  </si>
  <si>
    <r>
      <t xml:space="preserve">2012'NİN YENİ VİZYONLARI GENEL SIRALAMA </t>
    </r>
    <r>
      <rPr>
        <b/>
        <sz val="11"/>
        <color indexed="10"/>
        <rFont val="Calibri"/>
        <family val="2"/>
      </rPr>
      <t>30.12.2011 - 26.01.2012</t>
    </r>
  </si>
  <si>
    <r>
      <t xml:space="preserve">2012'DE GÖSTERİLEN TÜRKİYE YAPIMI FİLMLERİN HAFTALIK HASILAT VE BİLET PERFORMANSLARI </t>
    </r>
    <r>
      <rPr>
        <b/>
        <sz val="10"/>
        <color indexed="10"/>
        <rFont val="Arial"/>
        <family val="2"/>
      </rPr>
      <t>30.12.2011 - 26.01.2012</t>
    </r>
  </si>
  <si>
    <t>THE MIDNIGHT IN PARIS</t>
  </si>
  <si>
    <t>Imagina</t>
  </si>
  <si>
    <t>PARİS'TE GECEYARISI</t>
  </si>
  <si>
    <t>M6 Films</t>
  </si>
  <si>
    <t>THE DOUBLE</t>
  </si>
  <si>
    <t>İKİLİ OYUN</t>
  </si>
  <si>
    <t>Hyde Park</t>
  </si>
  <si>
    <t>GNOMEO &amp; JULIET</t>
  </si>
  <si>
    <t>IMPY'S WONDERLAND</t>
  </si>
  <si>
    <t>WATER FOR ELEPHANTS</t>
  </si>
  <si>
    <t>MR POPPER'S PENGUINS</t>
  </si>
  <si>
    <t>NIKO &amp; THE WAY TO THE STARS</t>
  </si>
  <si>
    <t>GNOMES AND TROLLS: THE SECRET CHAMBER</t>
  </si>
  <si>
    <t>ICE AGE 3: DAWN OF THE DINOSAURS</t>
  </si>
  <si>
    <t>SILENCE OF LOVE</t>
  </si>
  <si>
    <t>TELEPOOL</t>
  </si>
  <si>
    <t>CINEMATEQUE</t>
  </si>
  <si>
    <t>AŞKIN BÜYÜSÜ</t>
  </si>
  <si>
    <t>BABAMIN PENGUENLERİ</t>
  </si>
  <si>
    <t>NİKO: YILDIZLARA YOLCULUK</t>
  </si>
  <si>
    <t>CÜCELER DEVLERE KARŞI: GİZLİ ODA</t>
  </si>
  <si>
    <t>BUZ DEVRİ: DİNOZORLARIN ŞAFAĞI</t>
  </si>
  <si>
    <t>AŞKIN SESSİZLİĞİ</t>
  </si>
  <si>
    <t>İSTANBUL</t>
  </si>
  <si>
    <t>Touchstone</t>
  </si>
  <si>
    <t>Odyssey</t>
  </si>
  <si>
    <t>Fox 2000</t>
  </si>
  <si>
    <t>20th Century</t>
  </si>
  <si>
    <t>Union General</t>
  </si>
  <si>
    <t>Filmfabrik</t>
  </si>
  <si>
    <t>SEVİMLİ DİNOZOR TATİLDE</t>
  </si>
  <si>
    <t>ASTERIX ET LES VIKINGS</t>
  </si>
  <si>
    <t>ASTERİKS VİKİNGLER'E KARŞI</t>
  </si>
  <si>
    <t>SEVİMLİ CÜCELER CİNO VE JÜLYET</t>
  </si>
  <si>
    <t>NARNİA GÜNLÜKLERİ: ŞAFAK YILDIZ'ININ YOLCULUĞU</t>
  </si>
  <si>
    <t>ISZTANBUL</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</si>
  <si>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</si>
  <si>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</si>
  <si>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</si>
  <si>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</si>
  <si>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</si>
  <si>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</si>
  <si>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</si>
  <si>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</si>
  <si>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</si>
  <si>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</si>
  <si>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</si>
  <si>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</si>
  <si>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</si>
  <si>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</si>
  <si>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</si>
  <si>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</si>
  <si>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</si>
  <si>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</si>
  <si>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</si>
  <si>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</si>
  <si>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</si>
  <si>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</si>
  <si>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</si>
  <si>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</si>
  <si>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</si>
  <si>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</si>
  <si>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</si>
  <si>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</si>
  <si>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</si>
  <si>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</si>
  <si>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</si>
  <si>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</si>
  <si>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</si>
  <si>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</si>
  <si>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</si>
  <si>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</si>
  <si>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</si>
  <si>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</si>
  <si>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</si>
  <si>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</si>
  <si>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</si>
  <si>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</si>
  <si>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</si>
  <si>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</si>
  <si>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</si>
  <si>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</si>
  <si>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49</t>
  </si>
  <si>
    <t>50</t>
  </si>
  <si>
    <t>51</t>
  </si>
  <si>
    <t>52</t>
  </si>
  <si>
    <t>54</t>
  </si>
  <si>
    <t>55</t>
  </si>
  <si>
    <t>56</t>
  </si>
  <si>
    <t>57</t>
  </si>
  <si>
    <t>58</t>
  </si>
  <si>
    <t>60</t>
  </si>
  <si>
    <t>61</t>
  </si>
  <si>
    <t>62</t>
  </si>
  <si>
    <t>64</t>
  </si>
  <si>
    <t>65</t>
  </si>
  <si>
    <t>66</t>
  </si>
  <si>
    <t>67</t>
  </si>
  <si>
    <t>68</t>
  </si>
  <si>
    <t>69</t>
  </si>
  <si>
    <t>70</t>
  </si>
  <si>
    <t>71</t>
  </si>
  <si>
    <t>72</t>
  </si>
  <si>
    <t>THE CHRONICLES OF NARNIA: THE VOVAYE OF THE DAWN TREADER</t>
  </si>
  <si>
    <r>
      <t xml:space="preserve">DAĞITIMCI ŞİRKETLER PERFORMANS LİGİ - </t>
    </r>
    <r>
      <rPr>
        <b/>
        <sz val="12"/>
        <color indexed="10"/>
        <rFont val="Arial"/>
        <family val="2"/>
      </rPr>
      <t>4</t>
    </r>
    <r>
      <rPr>
        <b/>
        <sz val="12"/>
        <color indexed="10"/>
        <rFont val="Arial"/>
        <family val="2"/>
      </rPr>
      <t>. HAFTA (KAPANIŞ) 20-26.01.2012</t>
    </r>
  </si>
  <si>
    <r>
      <t xml:space="preserve">DAĞITIMCI ŞİRKETLER PERFORMANS LİGİ - </t>
    </r>
    <r>
      <rPr>
        <b/>
        <sz val="12"/>
        <color indexed="10"/>
        <rFont val="Arial"/>
        <family val="2"/>
      </rPr>
      <t>5</t>
    </r>
    <r>
      <rPr>
        <b/>
        <sz val="12"/>
        <color indexed="10"/>
        <rFont val="Arial"/>
        <family val="2"/>
      </rPr>
      <t>. HAFTA (AÇILIŞ) 27.01.2012</t>
    </r>
  </si>
  <si>
    <t>NİZAM EREN İLETİŞİM</t>
  </si>
</sst>
</file>

<file path=xl/styles.xml><?xml version="1.0" encoding="utf-8"?>
<styleSheet xmlns="http://schemas.openxmlformats.org/spreadsheetml/2006/main">
  <numFmts count="5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s>
  <fonts count="196">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i/>
      <sz val="16"/>
      <name val="Calibri"/>
      <family val="2"/>
    </font>
    <font>
      <b/>
      <sz val="10"/>
      <name val="Corbel"/>
      <family val="2"/>
    </font>
    <font>
      <b/>
      <sz val="20"/>
      <name val="Candara"/>
      <family val="2"/>
    </font>
    <font>
      <b/>
      <sz val="9"/>
      <name val="Calibri"/>
      <family val="2"/>
    </font>
    <font>
      <b/>
      <i/>
      <sz val="10"/>
      <name val="Calibri"/>
      <family val="2"/>
    </font>
    <font>
      <b/>
      <sz val="8"/>
      <name val="Arial"/>
      <family val="2"/>
    </font>
    <font>
      <b/>
      <sz val="14"/>
      <name val="Calibri"/>
      <family val="2"/>
    </font>
    <font>
      <i/>
      <sz val="7"/>
      <name val="Courier New"/>
      <family val="3"/>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Calibri"/>
      <family val="2"/>
    </font>
    <font>
      <b/>
      <sz val="8"/>
      <name val="Verdana"/>
      <family val="2"/>
    </font>
    <font>
      <b/>
      <u val="single"/>
      <sz val="14"/>
      <name val="Arial"/>
      <family val="2"/>
    </font>
    <font>
      <b/>
      <sz val="18"/>
      <name val="Garamond"/>
      <family val="1"/>
    </font>
    <font>
      <sz val="7"/>
      <name val="Calibri"/>
      <family val="2"/>
    </font>
    <font>
      <b/>
      <u val="single"/>
      <sz val="20"/>
      <name val="Candara"/>
      <family val="2"/>
    </font>
    <font>
      <b/>
      <u val="single"/>
      <sz val="40"/>
      <name val="Calibri"/>
      <family val="2"/>
    </font>
    <font>
      <b/>
      <sz val="28"/>
      <color indexed="10"/>
      <name val="Calibri"/>
      <family val="2"/>
    </font>
    <font>
      <b/>
      <u val="single"/>
      <sz val="28"/>
      <name val="Calibri"/>
      <family val="2"/>
    </font>
    <font>
      <b/>
      <i/>
      <sz val="10"/>
      <color indexed="10"/>
      <name val="Calibri"/>
      <family val="2"/>
    </font>
    <font>
      <b/>
      <sz val="10"/>
      <name val="Arial"/>
      <family val="2"/>
    </font>
    <font>
      <b/>
      <i/>
      <sz val="12"/>
      <name val="Arial"/>
      <family val="2"/>
    </font>
    <font>
      <b/>
      <sz val="12"/>
      <name val="Calibri"/>
      <family val="2"/>
    </font>
    <font>
      <sz val="12"/>
      <name val="Century Gothic"/>
      <family val="2"/>
    </font>
    <font>
      <b/>
      <sz val="10"/>
      <name val="Calibri"/>
      <family val="2"/>
    </font>
    <font>
      <sz val="40"/>
      <name val="Arial"/>
      <family val="2"/>
    </font>
    <font>
      <sz val="7"/>
      <name val="Arial"/>
      <family val="2"/>
    </font>
    <font>
      <sz val="16"/>
      <name val="Arial"/>
      <family val="2"/>
    </font>
    <font>
      <i/>
      <sz val="20"/>
      <name val="Arial"/>
      <family val="2"/>
    </font>
    <font>
      <sz val="25"/>
      <name val="Courier New"/>
      <family val="3"/>
    </font>
    <font>
      <u val="single"/>
      <sz val="10"/>
      <name val="Arial"/>
      <family val="2"/>
    </font>
    <font>
      <b/>
      <i/>
      <sz val="25"/>
      <name val="Wingdings 3"/>
      <family val="1"/>
    </font>
    <font>
      <i/>
      <sz val="9"/>
      <name val="Calibri"/>
      <family val="2"/>
    </font>
    <font>
      <b/>
      <sz val="30"/>
      <name val="Candara"/>
      <family val="2"/>
    </font>
    <font>
      <b/>
      <u val="single"/>
      <sz val="30"/>
      <name val="Candara"/>
      <family val="2"/>
    </font>
    <font>
      <sz val="30"/>
      <name val="Candara"/>
      <family val="2"/>
    </font>
    <font>
      <sz val="30"/>
      <name val="Arial"/>
      <family val="2"/>
    </font>
    <font>
      <b/>
      <sz val="30"/>
      <color indexed="9"/>
      <name val="Candara"/>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b/>
      <sz val="12"/>
      <name val="Berlin Sans FB"/>
      <family val="2"/>
    </font>
    <font>
      <b/>
      <sz val="11"/>
      <name val="Tahoma"/>
      <family val="2"/>
    </font>
    <font>
      <b/>
      <sz val="10"/>
      <color indexed="9"/>
      <name val="Tahoma"/>
      <family val="2"/>
    </font>
    <font>
      <b/>
      <sz val="11"/>
      <color indexed="10"/>
      <name val="Calibri"/>
      <family val="2"/>
    </font>
    <font>
      <sz val="8"/>
      <name val="Calibri"/>
      <family val="2"/>
    </font>
    <font>
      <b/>
      <sz val="10"/>
      <color indexed="10"/>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4"/>
      <name val="Calibri"/>
      <family val="2"/>
    </font>
    <font>
      <sz val="10"/>
      <color indexed="9"/>
      <name val="Arial"/>
      <family val="2"/>
    </font>
    <font>
      <b/>
      <sz val="10"/>
      <color indexed="9"/>
      <name val="Arial"/>
      <family val="2"/>
    </font>
    <font>
      <b/>
      <sz val="12"/>
      <color indexed="8"/>
      <name val="Berlin Sans FB"/>
      <family val="2"/>
    </font>
    <font>
      <b/>
      <sz val="14"/>
      <color indexed="49"/>
      <name val="Webdings"/>
      <family val="1"/>
    </font>
    <font>
      <b/>
      <sz val="14"/>
      <color indexed="21"/>
      <name val="Webdings"/>
      <family val="1"/>
    </font>
    <font>
      <b/>
      <sz val="14"/>
      <color indexed="10"/>
      <name val="Webdings"/>
      <family val="1"/>
    </font>
    <font>
      <b/>
      <sz val="8"/>
      <color indexed="9"/>
      <name val="Calibri"/>
      <family val="2"/>
    </font>
    <font>
      <b/>
      <sz val="10"/>
      <color indexed="9"/>
      <name val="Trebuchet MS"/>
      <family val="2"/>
    </font>
    <font>
      <b/>
      <sz val="10"/>
      <color indexed="9"/>
      <name val="Calibri"/>
      <family val="2"/>
    </font>
    <font>
      <b/>
      <sz val="12"/>
      <color indexed="8"/>
      <name val="Calibri"/>
      <family val="2"/>
    </font>
    <font>
      <b/>
      <sz val="8"/>
      <color indexed="8"/>
      <name val="Calibri"/>
      <family val="2"/>
    </font>
    <font>
      <b/>
      <sz val="12"/>
      <color indexed="10"/>
      <name val="Calibri"/>
      <family val="2"/>
    </font>
    <font>
      <sz val="8"/>
      <color indexed="8"/>
      <name val="Calibri"/>
      <family val="2"/>
    </font>
    <font>
      <sz val="10"/>
      <color indexed="8"/>
      <name val="Calibri"/>
      <family val="2"/>
    </font>
    <font>
      <sz val="8"/>
      <color indexed="9"/>
      <name val="Calibri"/>
      <family val="2"/>
    </font>
    <font>
      <sz val="10"/>
      <color indexed="9"/>
      <name val="Calibri"/>
      <family val="2"/>
    </font>
    <font>
      <sz val="10"/>
      <color indexed="10"/>
      <name val="Calibri"/>
      <family val="2"/>
    </font>
    <font>
      <b/>
      <sz val="11"/>
      <name val="Calibri"/>
      <family val="2"/>
    </font>
    <font>
      <sz val="10"/>
      <color indexed="9"/>
      <name val="Trebuchet MS"/>
      <family val="2"/>
    </font>
    <font>
      <b/>
      <sz val="12"/>
      <color indexed="54"/>
      <name val="Calibri"/>
      <family val="2"/>
    </font>
    <font>
      <b/>
      <sz val="10"/>
      <color indexed="10"/>
      <name val="Calibri"/>
      <family val="2"/>
    </font>
    <font>
      <b/>
      <sz val="10"/>
      <color indexed="8"/>
      <name val="Calibri"/>
      <family val="2"/>
    </font>
    <font>
      <b/>
      <sz val="12"/>
      <color indexed="9"/>
      <name val="Calibri"/>
      <family val="2"/>
    </font>
    <font>
      <b/>
      <sz val="50"/>
      <color indexed="49"/>
      <name val="Arial Black"/>
      <family val="2"/>
    </font>
    <font>
      <sz val="50"/>
      <color indexed="49"/>
      <name val="Arial"/>
      <family val="2"/>
    </font>
    <font>
      <b/>
      <sz val="14"/>
      <color indexed="10"/>
      <name val="Calibri"/>
      <family val="2"/>
    </font>
    <font>
      <b/>
      <sz val="14"/>
      <color indexed="30"/>
      <name val="Calibri"/>
      <family val="2"/>
    </font>
    <font>
      <b/>
      <sz val="10"/>
      <color indexed="30"/>
      <name val="Arial"/>
      <family val="2"/>
    </font>
    <font>
      <b/>
      <sz val="12"/>
      <color indexed="23"/>
      <name val="Arial"/>
      <family val="2"/>
    </font>
    <font>
      <sz val="12"/>
      <color indexed="23"/>
      <name val="Arial"/>
      <family val="2"/>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12"/>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family val="2"/>
    </font>
    <font>
      <b/>
      <sz val="10"/>
      <color theme="0"/>
      <name val="Arial"/>
      <family val="2"/>
    </font>
    <font>
      <b/>
      <sz val="12"/>
      <color theme="1"/>
      <name val="Berlin Sans FB"/>
      <family val="2"/>
    </font>
    <font>
      <b/>
      <sz val="14"/>
      <color theme="3" tint="0.39998000860214233"/>
      <name val="Webdings"/>
      <family val="1"/>
    </font>
    <font>
      <b/>
      <sz val="14"/>
      <color rgb="FF00B050"/>
      <name val="Webdings"/>
      <family val="1"/>
    </font>
    <font>
      <b/>
      <sz val="14"/>
      <color rgb="FFFF0000"/>
      <name val="Webdings"/>
      <family val="1"/>
    </font>
    <font>
      <b/>
      <sz val="8"/>
      <color theme="0"/>
      <name val="Calibri"/>
      <family val="2"/>
    </font>
    <font>
      <b/>
      <sz val="10"/>
      <color theme="0"/>
      <name val="Trebuchet MS"/>
      <family val="2"/>
    </font>
    <font>
      <b/>
      <sz val="10"/>
      <color theme="0"/>
      <name val="Calibri"/>
      <family val="2"/>
    </font>
    <font>
      <b/>
      <sz val="12"/>
      <color theme="1"/>
      <name val="Calibri"/>
      <family val="2"/>
    </font>
    <font>
      <b/>
      <sz val="8"/>
      <color theme="1"/>
      <name val="Calibri"/>
      <family val="2"/>
    </font>
    <font>
      <b/>
      <sz val="12"/>
      <color rgb="FFFF0000"/>
      <name val="Calibri"/>
      <family val="2"/>
    </font>
    <font>
      <sz val="8"/>
      <color theme="1"/>
      <name val="Calibri"/>
      <family val="2"/>
    </font>
    <font>
      <sz val="10"/>
      <color theme="1"/>
      <name val="Calibri"/>
      <family val="2"/>
    </font>
    <font>
      <sz val="8"/>
      <color theme="0"/>
      <name val="Calibri"/>
      <family val="2"/>
    </font>
    <font>
      <sz val="10"/>
      <color theme="0"/>
      <name val="Calibri"/>
      <family val="2"/>
    </font>
    <font>
      <sz val="10"/>
      <color rgb="FFFF0000"/>
      <name val="Calibri"/>
      <family val="2"/>
    </font>
    <font>
      <sz val="10"/>
      <color theme="0"/>
      <name val="Trebuchet MS"/>
      <family val="2"/>
    </font>
    <font>
      <b/>
      <sz val="12"/>
      <color theme="7" tint="-0.24997000396251678"/>
      <name val="Calibri"/>
      <family val="2"/>
    </font>
    <font>
      <b/>
      <sz val="10"/>
      <color rgb="FFFF0000"/>
      <name val="Calibri"/>
      <family val="2"/>
    </font>
    <font>
      <b/>
      <sz val="10"/>
      <color theme="1"/>
      <name val="Calibri"/>
      <family val="2"/>
    </font>
    <font>
      <b/>
      <sz val="12"/>
      <color theme="0"/>
      <name val="Calibri"/>
      <family val="2"/>
    </font>
    <font>
      <b/>
      <sz val="50"/>
      <color theme="8" tint="-0.24997000396251678"/>
      <name val="Arial Black"/>
      <family val="2"/>
    </font>
    <font>
      <sz val="50"/>
      <color theme="8" tint="-0.24997000396251678"/>
      <name val="Arial"/>
      <family val="2"/>
    </font>
    <font>
      <b/>
      <sz val="14"/>
      <color rgb="FFC00000"/>
      <name val="Calibri"/>
      <family val="2"/>
    </font>
    <font>
      <b/>
      <sz val="10"/>
      <color rgb="FFC00000"/>
      <name val="Arial"/>
      <family val="2"/>
    </font>
    <font>
      <b/>
      <sz val="14"/>
      <color rgb="FF0070C0"/>
      <name val="Calibri"/>
      <family val="2"/>
    </font>
    <font>
      <b/>
      <sz val="10"/>
      <color rgb="FF0070C0"/>
      <name val="Arial"/>
      <family val="2"/>
    </font>
    <font>
      <b/>
      <sz val="12"/>
      <color theme="1" tint="0.49998000264167786"/>
      <name val="Arial"/>
      <family val="2"/>
    </font>
    <font>
      <sz val="12"/>
      <color theme="1" tint="0.49998000264167786"/>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4999699890613556"/>
        <bgColor indexed="64"/>
      </patternFill>
    </fill>
    <fill>
      <patternFill patternType="solid">
        <fgColor theme="3" tint="-0.24997000396251678"/>
        <bgColor indexed="64"/>
      </patternFill>
    </fill>
    <fill>
      <patternFill patternType="solid">
        <fgColor theme="2" tint="-0.24997000396251678"/>
        <bgColor indexed="64"/>
      </patternFill>
    </fill>
    <fill>
      <patternFill patternType="solid">
        <fgColor theme="2"/>
        <bgColor indexed="64"/>
      </patternFill>
    </fill>
    <fill>
      <patternFill patternType="solid">
        <fgColor indexed="10"/>
        <bgColor indexed="64"/>
      </patternFill>
    </fill>
    <fill>
      <patternFill patternType="solid">
        <fgColor theme="9" tint="-0.24997000396251678"/>
        <bgColor indexed="64"/>
      </patternFill>
    </fill>
    <fill>
      <patternFill patternType="solid">
        <fgColor theme="3" tint="0.39998000860214233"/>
        <bgColor indexed="64"/>
      </patternFill>
    </fill>
    <fill>
      <patternFill patternType="solid">
        <fgColor indexed="17"/>
        <bgColor indexed="64"/>
      </patternFill>
    </fill>
    <fill>
      <patternFill patternType="solid">
        <fgColor rgb="FFFFC000"/>
        <bgColor indexed="64"/>
      </patternFill>
    </fill>
    <fill>
      <patternFill patternType="solid">
        <fgColor rgb="FF002060"/>
        <bgColor indexed="64"/>
      </patternFill>
    </fill>
    <fill>
      <patternFill patternType="solid">
        <fgColor theme="1"/>
        <bgColor indexed="64"/>
      </patternFill>
    </fill>
    <fill>
      <patternFill patternType="solid">
        <fgColor theme="6" tint="-0.4999699890613556"/>
        <bgColor indexed="64"/>
      </patternFill>
    </fill>
    <fill>
      <patternFill patternType="solid">
        <fgColor rgb="FFFF0000"/>
        <bgColor indexed="64"/>
      </patternFill>
    </fill>
    <fill>
      <patternFill patternType="solid">
        <fgColor indexed="65"/>
        <bgColor indexed="64"/>
      </patternFill>
    </fill>
    <fill>
      <patternFill patternType="solid">
        <fgColor theme="3"/>
        <bgColor indexed="64"/>
      </patternFill>
    </fill>
    <fill>
      <patternFill patternType="solid">
        <fgColor theme="2" tint="-0.7499799728393555"/>
        <bgColor indexed="64"/>
      </patternFill>
    </fill>
  </fills>
  <borders count="7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style="thin"/>
      <top style="medium"/>
      <bottom style="medium"/>
    </border>
    <border>
      <left style="thin"/>
      <right style="medium"/>
      <top>
        <color indexed="63"/>
      </top>
      <bottom style="thin"/>
    </border>
    <border>
      <left style="thin"/>
      <right style="medium"/>
      <top style="thin"/>
      <bottom style="medium"/>
    </border>
    <border>
      <left style="hair"/>
      <right style="hair"/>
      <top style="medium"/>
      <bottom style="hair"/>
    </border>
    <border>
      <left style="hair"/>
      <right style="hair"/>
      <top style="hair"/>
      <bottom style="hair"/>
    </border>
    <border>
      <left style="hair"/>
      <right style="hair"/>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hair"/>
      <bottom style="hair"/>
    </border>
    <border>
      <left style="medium"/>
      <right>
        <color indexed="63"/>
      </right>
      <top style="hair"/>
      <bottom style="medium"/>
    </border>
    <border>
      <left style="medium"/>
      <right>
        <color indexed="63"/>
      </right>
      <top style="medium"/>
      <bottom style="hair"/>
    </border>
    <border>
      <left style="thin"/>
      <right style="thin"/>
      <top style="thin"/>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medium"/>
      <top>
        <color indexed="63"/>
      </top>
      <bottom style="medium"/>
    </border>
    <border>
      <left style="hair"/>
      <right style="hair"/>
      <top>
        <color indexed="63"/>
      </top>
      <bottom style="hair"/>
    </border>
    <border>
      <left style="hair"/>
      <right style="hair"/>
      <top>
        <color indexed="63"/>
      </top>
      <bottom style="medium"/>
    </border>
    <border>
      <left style="medium"/>
      <right style="hair"/>
      <top style="medium"/>
      <bottom style="hair"/>
    </border>
    <border>
      <left style="medium"/>
      <right style="hair"/>
      <top style="hair"/>
      <bottom style="hair"/>
    </border>
    <border>
      <left style="medium"/>
      <right>
        <color indexed="63"/>
      </right>
      <top>
        <color indexed="63"/>
      </top>
      <bottom style="hair"/>
    </border>
    <border>
      <left style="medium"/>
      <right style="hair"/>
      <top style="hair"/>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hair"/>
    </border>
    <border>
      <left>
        <color indexed="63"/>
      </left>
      <right style="thin"/>
      <top style="medium"/>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150" fillId="19" borderId="0" applyNumberFormat="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1" applyNumberFormat="0" applyFill="0" applyAlignment="0" applyProtection="0"/>
    <xf numFmtId="0" fontId="154" fillId="0" borderId="2" applyNumberFormat="0" applyFill="0" applyAlignment="0" applyProtection="0"/>
    <xf numFmtId="0" fontId="155" fillId="0" borderId="3" applyNumberFormat="0" applyFill="0" applyAlignment="0" applyProtection="0"/>
    <xf numFmtId="0" fontId="156" fillId="0" borderId="4" applyNumberFormat="0" applyFill="0" applyAlignment="0" applyProtection="0"/>
    <xf numFmtId="0" fontId="1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57" fillId="20" borderId="5" applyNumberFormat="0" applyAlignment="0" applyProtection="0"/>
    <xf numFmtId="0" fontId="158" fillId="21" borderId="6" applyNumberFormat="0" applyAlignment="0" applyProtection="0"/>
    <xf numFmtId="0" fontId="159" fillId="20" borderId="6" applyNumberFormat="0" applyAlignment="0" applyProtection="0"/>
    <xf numFmtId="0" fontId="160" fillId="22" borderId="7" applyNumberFormat="0" applyAlignment="0" applyProtection="0"/>
    <xf numFmtId="0" fontId="161"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6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4" fillId="0" borderId="9" applyNumberFormat="0" applyFill="0" applyAlignment="0" applyProtection="0"/>
    <xf numFmtId="0" fontId="165" fillId="0" borderId="0" applyNumberFormat="0" applyFill="0" applyBorder="0" applyAlignment="0" applyProtection="0"/>
    <xf numFmtId="0" fontId="150" fillId="27" borderId="0" applyNumberFormat="0" applyBorder="0" applyAlignment="0" applyProtection="0"/>
    <xf numFmtId="0" fontId="150" fillId="28" borderId="0" applyNumberFormat="0" applyBorder="0" applyAlignment="0" applyProtection="0"/>
    <xf numFmtId="0" fontId="150" fillId="29" borderId="0" applyNumberFormat="0" applyBorder="0" applyAlignment="0" applyProtection="0"/>
    <xf numFmtId="0" fontId="150" fillId="30" borderId="0" applyNumberFormat="0" applyBorder="0" applyAlignment="0" applyProtection="0"/>
    <xf numFmtId="0" fontId="150" fillId="31" borderId="0" applyNumberFormat="0" applyBorder="0" applyAlignment="0" applyProtection="0"/>
    <xf numFmtId="0" fontId="150"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753">
    <xf numFmtId="0" fontId="0" fillId="0" borderId="0" xfId="0" applyAlignment="1">
      <alignment/>
    </xf>
    <xf numFmtId="0" fontId="16"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43" fontId="16" fillId="33" borderId="12" xfId="40" applyFont="1" applyFill="1" applyBorder="1" applyAlignment="1" applyProtection="1">
      <alignment horizontal="center"/>
      <protection/>
    </xf>
    <xf numFmtId="0" fontId="16"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3" fontId="13"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4" fontId="13"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25" fillId="33" borderId="0" xfId="0" applyNumberFormat="1" applyFont="1" applyFill="1" applyBorder="1" applyAlignment="1" applyProtection="1">
      <alignment horizontal="center" vertical="center"/>
      <protection/>
    </xf>
    <xf numFmtId="3" fontId="25" fillId="33" borderId="0" xfId="0" applyNumberFormat="1" applyFont="1" applyFill="1" applyBorder="1" applyAlignment="1" applyProtection="1">
      <alignment horizontal="center" vertical="center"/>
      <protection/>
    </xf>
    <xf numFmtId="3" fontId="25" fillId="33" borderId="0" xfId="0" applyNumberFormat="1" applyFont="1" applyFill="1" applyBorder="1" applyAlignment="1" applyProtection="1">
      <alignment horizontal="center" vertical="center" wrapText="1"/>
      <protection/>
    </xf>
    <xf numFmtId="4" fontId="23" fillId="33" borderId="0" xfId="0" applyNumberFormat="1" applyFont="1" applyFill="1" applyBorder="1" applyAlignment="1" applyProtection="1">
      <alignment horizontal="center" vertical="center" wrapText="1"/>
      <protection/>
    </xf>
    <xf numFmtId="3" fontId="23" fillId="33" borderId="0" xfId="0" applyNumberFormat="1" applyFont="1" applyFill="1" applyBorder="1" applyAlignment="1" applyProtection="1">
      <alignment horizontal="center" vertical="center" wrapText="1"/>
      <protection/>
    </xf>
    <xf numFmtId="192" fontId="23" fillId="33" borderId="0" xfId="0" applyNumberFormat="1" applyFont="1" applyFill="1" applyBorder="1" applyAlignment="1" applyProtection="1">
      <alignment horizontal="center" vertical="center" wrapText="1"/>
      <protection/>
    </xf>
    <xf numFmtId="0" fontId="27" fillId="33" borderId="0" xfId="0" applyFont="1" applyFill="1" applyBorder="1" applyAlignment="1" applyProtection="1">
      <alignment horizontal="center" vertical="center"/>
      <protection/>
    </xf>
    <xf numFmtId="1" fontId="17" fillId="33" borderId="13" xfId="0" applyNumberFormat="1" applyFont="1" applyFill="1" applyBorder="1" applyAlignment="1" applyProtection="1">
      <alignment horizontal="center" vertical="center" wrapText="1"/>
      <protection/>
    </xf>
    <xf numFmtId="1" fontId="16" fillId="33" borderId="14" xfId="0" applyNumberFormat="1" applyFont="1" applyFill="1" applyBorder="1" applyAlignment="1" applyProtection="1">
      <alignment horizontal="center" vertical="center" wrapText="1"/>
      <protection/>
    </xf>
    <xf numFmtId="1" fontId="16" fillId="33" borderId="15" xfId="0" applyNumberFormat="1" applyFont="1" applyFill="1" applyBorder="1" applyAlignment="1" applyProtection="1">
      <alignment horizontal="center" vertical="center" wrapText="1"/>
      <protection/>
    </xf>
    <xf numFmtId="4" fontId="12" fillId="33" borderId="0" xfId="0" applyNumberFormat="1" applyFont="1" applyFill="1" applyBorder="1" applyAlignment="1" applyProtection="1">
      <alignment horizontal="right" vertical="center"/>
      <protection/>
    </xf>
    <xf numFmtId="4" fontId="13" fillId="33" borderId="0" xfId="0" applyNumberFormat="1" applyFont="1" applyFill="1" applyBorder="1" applyAlignment="1" applyProtection="1">
      <alignment horizontal="right" vertical="center"/>
      <protection/>
    </xf>
    <xf numFmtId="3" fontId="12" fillId="33" borderId="0" xfId="0" applyNumberFormat="1" applyFont="1" applyFill="1" applyBorder="1" applyAlignment="1" applyProtection="1">
      <alignment horizontal="right" vertical="center"/>
      <protection/>
    </xf>
    <xf numFmtId="4" fontId="35" fillId="33" borderId="0" xfId="0" applyNumberFormat="1" applyFont="1" applyFill="1" applyBorder="1" applyAlignment="1" applyProtection="1">
      <alignment horizontal="right" vertical="center"/>
      <protection/>
    </xf>
    <xf numFmtId="3" fontId="35" fillId="33" borderId="0" xfId="0" applyNumberFormat="1" applyFont="1" applyFill="1" applyBorder="1" applyAlignment="1" applyProtection="1">
      <alignment horizontal="right" vertical="center"/>
      <protection/>
    </xf>
    <xf numFmtId="0" fontId="17" fillId="34" borderId="16" xfId="0" applyFont="1" applyFill="1" applyBorder="1" applyAlignment="1" applyProtection="1">
      <alignment horizontal="center" vertical="center" wrapText="1"/>
      <protection/>
    </xf>
    <xf numFmtId="0" fontId="16" fillId="34" borderId="10" xfId="0" applyFont="1" applyFill="1" applyBorder="1" applyAlignment="1" applyProtection="1">
      <alignment horizontal="center" vertical="center" wrapText="1"/>
      <protection/>
    </xf>
    <xf numFmtId="0" fontId="16" fillId="34" borderId="10" xfId="0" applyFont="1" applyFill="1" applyBorder="1" applyAlignment="1" applyProtection="1">
      <alignment horizontal="center"/>
      <protection/>
    </xf>
    <xf numFmtId="190" fontId="16" fillId="34" borderId="10" xfId="0" applyNumberFormat="1" applyFont="1" applyFill="1" applyBorder="1" applyAlignment="1" applyProtection="1">
      <alignment horizontal="center"/>
      <protection/>
    </xf>
    <xf numFmtId="4" fontId="16" fillId="34" borderId="10" xfId="0" applyNumberFormat="1" applyFont="1" applyFill="1" applyBorder="1" applyAlignment="1" applyProtection="1">
      <alignment horizontal="center" vertical="center" wrapText="1"/>
      <protection/>
    </xf>
    <xf numFmtId="0" fontId="16" fillId="34" borderId="17" xfId="0" applyFont="1" applyFill="1" applyBorder="1" applyAlignment="1" applyProtection="1">
      <alignment horizontal="center" vertical="center" wrapText="1"/>
      <protection/>
    </xf>
    <xf numFmtId="43" fontId="16" fillId="34" borderId="12" xfId="40" applyFont="1" applyFill="1" applyBorder="1" applyAlignment="1" applyProtection="1">
      <alignment horizontal="center"/>
      <protection/>
    </xf>
    <xf numFmtId="190" fontId="16" fillId="34" borderId="12" xfId="0" applyNumberFormat="1" applyFont="1" applyFill="1" applyBorder="1" applyAlignment="1" applyProtection="1">
      <alignment horizontal="center"/>
      <protection/>
    </xf>
    <xf numFmtId="0" fontId="16" fillId="34" borderId="12" xfId="0" applyFont="1" applyFill="1" applyBorder="1" applyAlignment="1" applyProtection="1">
      <alignment horizontal="center"/>
      <protection/>
    </xf>
    <xf numFmtId="4" fontId="16" fillId="34" borderId="12" xfId="0" applyNumberFormat="1" applyFont="1" applyFill="1" applyBorder="1" applyAlignment="1" applyProtection="1">
      <alignment horizontal="center" vertical="center" wrapText="1"/>
      <protection/>
    </xf>
    <xf numFmtId="3" fontId="16" fillId="34" borderId="12" xfId="0" applyNumberFormat="1" applyFont="1" applyFill="1" applyBorder="1" applyAlignment="1" applyProtection="1">
      <alignment horizontal="center" vertical="center" wrapText="1"/>
      <protection/>
    </xf>
    <xf numFmtId="192" fontId="16" fillId="34" borderId="12" xfId="0" applyNumberFormat="1" applyFont="1" applyFill="1" applyBorder="1" applyAlignment="1" applyProtection="1">
      <alignment horizontal="center" vertical="center" wrapText="1"/>
      <protection/>
    </xf>
    <xf numFmtId="4" fontId="21" fillId="34" borderId="12" xfId="0" applyNumberFormat="1" applyFont="1" applyFill="1" applyBorder="1" applyAlignment="1" applyProtection="1">
      <alignment horizontal="center" vertical="center" wrapText="1"/>
      <protection/>
    </xf>
    <xf numFmtId="3" fontId="21" fillId="34" borderId="12" xfId="0" applyNumberFormat="1" applyFont="1" applyFill="1" applyBorder="1" applyAlignment="1" applyProtection="1">
      <alignment horizontal="center" vertical="center" wrapText="1"/>
      <protection/>
    </xf>
    <xf numFmtId="0" fontId="16" fillId="34" borderId="18" xfId="0" applyFont="1" applyFill="1" applyBorder="1" applyAlignment="1" applyProtection="1">
      <alignment horizontal="center" vertical="center" wrapText="1"/>
      <protection/>
    </xf>
    <xf numFmtId="43" fontId="16" fillId="0" borderId="12" xfId="40" applyFont="1" applyFill="1" applyBorder="1" applyAlignment="1" applyProtection="1">
      <alignment horizontal="center"/>
      <protection/>
    </xf>
    <xf numFmtId="0" fontId="12" fillId="33" borderId="0" xfId="0" applyNumberFormat="1" applyFont="1" applyFill="1" applyBorder="1" applyAlignment="1">
      <alignment vertical="center"/>
    </xf>
    <xf numFmtId="0" fontId="12" fillId="7" borderId="19" xfId="0" applyFont="1" applyFill="1" applyBorder="1" applyAlignment="1">
      <alignment vertical="center"/>
    </xf>
    <xf numFmtId="0" fontId="12" fillId="7" borderId="19" xfId="0" applyNumberFormat="1" applyFont="1" applyFill="1" applyBorder="1" applyAlignment="1" applyProtection="1">
      <alignment vertical="center"/>
      <protection/>
    </xf>
    <xf numFmtId="0" fontId="12" fillId="7" borderId="20" xfId="0" applyFont="1" applyFill="1" applyBorder="1" applyAlignment="1">
      <alignment vertical="center"/>
    </xf>
    <xf numFmtId="0" fontId="12" fillId="7" borderId="20" xfId="57" applyFont="1" applyFill="1" applyBorder="1" applyAlignment="1">
      <alignment vertical="center"/>
      <protection/>
    </xf>
    <xf numFmtId="204" fontId="12" fillId="7" borderId="20" xfId="0" applyNumberFormat="1" applyFont="1" applyFill="1" applyBorder="1" applyAlignment="1">
      <alignment vertical="center"/>
    </xf>
    <xf numFmtId="0" fontId="12" fillId="7" borderId="20" xfId="0" applyNumberFormat="1" applyFont="1" applyFill="1" applyBorder="1" applyAlignment="1" applyProtection="1">
      <alignment vertical="center"/>
      <protection/>
    </xf>
    <xf numFmtId="0" fontId="12" fillId="7" borderId="20" xfId="0" applyFont="1" applyFill="1" applyBorder="1" applyAlignment="1" applyProtection="1">
      <alignment vertical="center"/>
      <protection/>
    </xf>
    <xf numFmtId="0" fontId="12" fillId="7" borderId="20" xfId="0" applyNumberFormat="1" applyFont="1" applyFill="1" applyBorder="1" applyAlignment="1" applyProtection="1">
      <alignment vertical="center"/>
      <protection locked="0"/>
    </xf>
    <xf numFmtId="0" fontId="12" fillId="7" borderId="20" xfId="0" applyFont="1" applyFill="1" applyBorder="1" applyAlignment="1" applyProtection="1">
      <alignment vertical="center"/>
      <protection locked="0"/>
    </xf>
    <xf numFmtId="0" fontId="12" fillId="7" borderId="20" xfId="0" applyNumberFormat="1" applyFont="1" applyFill="1" applyBorder="1" applyAlignment="1">
      <alignment vertical="center"/>
    </xf>
    <xf numFmtId="0" fontId="12" fillId="7" borderId="21" xfId="0" applyFont="1" applyFill="1" applyBorder="1" applyAlignment="1">
      <alignment vertical="center"/>
    </xf>
    <xf numFmtId="0" fontId="12" fillId="7" borderId="21" xfId="0" applyNumberFormat="1" applyFont="1" applyFill="1" applyBorder="1" applyAlignment="1" applyProtection="1">
      <alignment vertical="center"/>
      <protection/>
    </xf>
    <xf numFmtId="4" fontId="52" fillId="33" borderId="0" xfId="0" applyNumberFormat="1" applyFont="1" applyFill="1" applyBorder="1" applyAlignment="1" applyProtection="1">
      <alignment horizontal="right" vertical="center"/>
      <protection/>
    </xf>
    <xf numFmtId="4" fontId="52" fillId="33" borderId="0" xfId="0" applyNumberFormat="1" applyFont="1" applyFill="1" applyBorder="1" applyAlignment="1" applyProtection="1">
      <alignment horizontal="center" vertical="center"/>
      <protection/>
    </xf>
    <xf numFmtId="3" fontId="52" fillId="33" borderId="0" xfId="0" applyNumberFormat="1" applyFont="1" applyFill="1" applyBorder="1" applyAlignment="1" applyProtection="1">
      <alignment horizontal="center" vertical="center"/>
      <protection/>
    </xf>
    <xf numFmtId="0" fontId="53" fillId="33" borderId="0" xfId="0" applyFont="1" applyFill="1" applyBorder="1" applyAlignment="1" applyProtection="1">
      <alignment horizontal="left" vertical="center"/>
      <protection/>
    </xf>
    <xf numFmtId="0" fontId="53" fillId="33" borderId="0" xfId="0" applyFont="1" applyFill="1" applyBorder="1" applyAlignment="1" applyProtection="1">
      <alignment horizontal="center" vertical="center"/>
      <protection/>
    </xf>
    <xf numFmtId="4" fontId="53" fillId="33" borderId="0" xfId="0" applyNumberFormat="1" applyFont="1" applyFill="1" applyBorder="1" applyAlignment="1" applyProtection="1">
      <alignment horizontal="right" vertical="center"/>
      <protection/>
    </xf>
    <xf numFmtId="4" fontId="53" fillId="33" borderId="0" xfId="0" applyNumberFormat="1" applyFont="1" applyFill="1" applyBorder="1" applyAlignment="1" applyProtection="1">
      <alignment horizontal="center" vertical="center"/>
      <protection/>
    </xf>
    <xf numFmtId="3" fontId="53" fillId="33" borderId="0" xfId="0" applyNumberFormat="1" applyFont="1" applyFill="1" applyBorder="1" applyAlignment="1" applyProtection="1">
      <alignment horizontal="center" vertical="center"/>
      <protection/>
    </xf>
    <xf numFmtId="0" fontId="55"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16" fillId="33" borderId="22" xfId="0" applyFont="1" applyFill="1" applyBorder="1" applyAlignment="1" applyProtection="1">
      <alignment horizontal="center"/>
      <protection/>
    </xf>
    <xf numFmtId="0" fontId="16" fillId="34" borderId="23" xfId="0" applyFont="1" applyFill="1" applyBorder="1" applyAlignment="1" applyProtection="1">
      <alignment horizontal="center"/>
      <protection/>
    </xf>
    <xf numFmtId="190" fontId="16" fillId="34" borderId="23" xfId="0" applyNumberFormat="1" applyFont="1" applyFill="1" applyBorder="1" applyAlignment="1" applyProtection="1">
      <alignment horizontal="center"/>
      <protection/>
    </xf>
    <xf numFmtId="0" fontId="16" fillId="35" borderId="23" xfId="0" applyFont="1" applyFill="1" applyBorder="1" applyAlignment="1" applyProtection="1">
      <alignment horizontal="center"/>
      <protection/>
    </xf>
    <xf numFmtId="4" fontId="16" fillId="35" borderId="23" xfId="0" applyNumberFormat="1" applyFont="1" applyFill="1" applyBorder="1" applyAlignment="1" applyProtection="1">
      <alignment horizontal="center"/>
      <protection/>
    </xf>
    <xf numFmtId="3" fontId="16" fillId="35" borderId="23" xfId="0" applyNumberFormat="1" applyFont="1" applyFill="1" applyBorder="1" applyAlignment="1" applyProtection="1">
      <alignment horizontal="center"/>
      <protection/>
    </xf>
    <xf numFmtId="4" fontId="21" fillId="35" borderId="23" xfId="0" applyNumberFormat="1" applyFont="1" applyFill="1" applyBorder="1" applyAlignment="1" applyProtection="1">
      <alignment horizontal="center"/>
      <protection/>
    </xf>
    <xf numFmtId="3" fontId="21" fillId="35" borderId="23" xfId="0" applyNumberFormat="1" applyFont="1" applyFill="1" applyBorder="1" applyAlignment="1" applyProtection="1">
      <alignment horizontal="center"/>
      <protection/>
    </xf>
    <xf numFmtId="4" fontId="16" fillId="35" borderId="23" xfId="0" applyNumberFormat="1" applyFont="1" applyFill="1" applyBorder="1" applyAlignment="1" applyProtection="1">
      <alignment horizontal="center" vertical="center" wrapText="1"/>
      <protection/>
    </xf>
    <xf numFmtId="0" fontId="16" fillId="34" borderId="24" xfId="0" applyFont="1" applyFill="1" applyBorder="1" applyAlignment="1" applyProtection="1">
      <alignment horizontal="center" vertical="center" wrapText="1"/>
      <protection/>
    </xf>
    <xf numFmtId="0" fontId="16" fillId="33" borderId="15" xfId="0" applyFont="1" applyFill="1" applyBorder="1" applyAlignment="1" applyProtection="1">
      <alignment horizontal="center"/>
      <protection/>
    </xf>
    <xf numFmtId="4" fontId="46" fillId="8" borderId="19" xfId="0" applyNumberFormat="1" applyFont="1" applyFill="1" applyBorder="1" applyAlignment="1">
      <alignment vertical="center"/>
    </xf>
    <xf numFmtId="4" fontId="46" fillId="8" borderId="20" xfId="0" applyNumberFormat="1" applyFont="1" applyFill="1" applyBorder="1" applyAlignment="1">
      <alignment vertical="center"/>
    </xf>
    <xf numFmtId="4" fontId="46" fillId="8" borderId="21" xfId="0" applyNumberFormat="1" applyFont="1" applyFill="1" applyBorder="1" applyAlignment="1">
      <alignment vertical="center"/>
    </xf>
    <xf numFmtId="0" fontId="0" fillId="33" borderId="0" xfId="0" applyFont="1" applyFill="1" applyAlignment="1" applyProtection="1">
      <alignment vertical="center"/>
      <protection/>
    </xf>
    <xf numFmtId="3" fontId="0" fillId="33" borderId="0" xfId="0" applyNumberFormat="1" applyFont="1" applyFill="1" applyBorder="1" applyAlignment="1" applyProtection="1">
      <alignment vertical="center"/>
      <protection/>
    </xf>
    <xf numFmtId="0" fontId="16" fillId="33" borderId="23" xfId="0" applyFont="1" applyFill="1" applyBorder="1" applyAlignment="1" applyProtection="1">
      <alignment horizontal="center"/>
      <protection/>
    </xf>
    <xf numFmtId="0" fontId="16" fillId="0" borderId="23" xfId="0" applyFont="1" applyFill="1" applyBorder="1" applyAlignment="1" applyProtection="1">
      <alignment horizontal="center"/>
      <protection/>
    </xf>
    <xf numFmtId="0" fontId="18" fillId="34" borderId="25" xfId="0" applyFont="1" applyFill="1" applyBorder="1" applyAlignment="1" applyProtection="1">
      <alignment vertical="center"/>
      <protection/>
    </xf>
    <xf numFmtId="0" fontId="18" fillId="34" borderId="26" xfId="0" applyFont="1" applyFill="1" applyBorder="1" applyAlignment="1" applyProtection="1">
      <alignment vertical="center"/>
      <protection/>
    </xf>
    <xf numFmtId="0" fontId="18" fillId="34" borderId="27" xfId="0" applyFont="1" applyFill="1" applyBorder="1" applyAlignment="1" applyProtection="1">
      <alignment vertical="center"/>
      <protection/>
    </xf>
    <xf numFmtId="43" fontId="16" fillId="33" borderId="28" xfId="40" applyFont="1" applyFill="1" applyBorder="1" applyAlignment="1" applyProtection="1">
      <alignment horizontal="center"/>
      <protection/>
    </xf>
    <xf numFmtId="43" fontId="16" fillId="0" borderId="28" xfId="40" applyFont="1" applyFill="1" applyBorder="1" applyAlignment="1" applyProtection="1">
      <alignment horizontal="center"/>
      <protection/>
    </xf>
    <xf numFmtId="0" fontId="16" fillId="33" borderId="28" xfId="0" applyFont="1" applyFill="1" applyBorder="1" applyAlignment="1" applyProtection="1">
      <alignment horizontal="center" vertical="center" wrapText="1"/>
      <protection/>
    </xf>
    <xf numFmtId="3" fontId="46" fillId="8" borderId="29" xfId="0" applyNumberFormat="1" applyFont="1" applyFill="1" applyBorder="1" applyAlignment="1">
      <alignment vertical="center"/>
    </xf>
    <xf numFmtId="3" fontId="46" fillId="8" borderId="30" xfId="0" applyNumberFormat="1" applyFont="1" applyFill="1" applyBorder="1" applyAlignment="1">
      <alignment vertical="center"/>
    </xf>
    <xf numFmtId="3" fontId="46" fillId="8" borderId="31" xfId="0" applyNumberFormat="1" applyFont="1" applyFill="1" applyBorder="1" applyAlignment="1">
      <alignment vertical="center"/>
    </xf>
    <xf numFmtId="0" fontId="6" fillId="36" borderId="0" xfId="0" applyFont="1" applyFill="1" applyBorder="1" applyAlignment="1" applyProtection="1">
      <alignment horizontal="center" vertical="center" wrapText="1"/>
      <protection/>
    </xf>
    <xf numFmtId="4" fontId="16" fillId="34" borderId="32" xfId="0" applyNumberFormat="1" applyFont="1" applyFill="1" applyBorder="1" applyAlignment="1" applyProtection="1">
      <alignment horizontal="center" vertical="center" wrapText="1"/>
      <protection/>
    </xf>
    <xf numFmtId="4" fontId="16" fillId="34" borderId="33" xfId="0" applyNumberFormat="1" applyFont="1" applyFill="1" applyBorder="1" applyAlignment="1" applyProtection="1">
      <alignment horizontal="center" vertical="center" wrapText="1"/>
      <protection/>
    </xf>
    <xf numFmtId="4" fontId="16" fillId="35" borderId="34" xfId="0" applyNumberFormat="1" applyFont="1" applyFill="1" applyBorder="1" applyAlignment="1" applyProtection="1">
      <alignment horizontal="center" vertical="center" wrapText="1"/>
      <protection/>
    </xf>
    <xf numFmtId="43" fontId="16" fillId="34" borderId="28" xfId="40" applyFont="1" applyFill="1" applyBorder="1" applyAlignment="1" applyProtection="1">
      <alignment horizontal="center"/>
      <protection/>
    </xf>
    <xf numFmtId="190" fontId="16" fillId="34" borderId="28" xfId="0" applyNumberFormat="1" applyFont="1" applyFill="1" applyBorder="1" applyAlignment="1" applyProtection="1">
      <alignment horizontal="center"/>
      <protection/>
    </xf>
    <xf numFmtId="0" fontId="16" fillId="34" borderId="28" xfId="0" applyFont="1" applyFill="1" applyBorder="1" applyAlignment="1" applyProtection="1">
      <alignment horizontal="center"/>
      <protection/>
    </xf>
    <xf numFmtId="0" fontId="16" fillId="19" borderId="28" xfId="0" applyFont="1" applyFill="1" applyBorder="1" applyAlignment="1" applyProtection="1">
      <alignment horizontal="center"/>
      <protection/>
    </xf>
    <xf numFmtId="4" fontId="16" fillId="19" borderId="28" xfId="0" applyNumberFormat="1" applyFont="1" applyFill="1" applyBorder="1" applyAlignment="1" applyProtection="1">
      <alignment horizontal="center" vertical="center" wrapText="1"/>
      <protection/>
    </xf>
    <xf numFmtId="3" fontId="16" fillId="19" borderId="28" xfId="0" applyNumberFormat="1" applyFont="1" applyFill="1" applyBorder="1" applyAlignment="1" applyProtection="1">
      <alignment horizontal="center" vertical="center" wrapText="1"/>
      <protection/>
    </xf>
    <xf numFmtId="4" fontId="16" fillId="35" borderId="28" xfId="0" applyNumberFormat="1" applyFont="1" applyFill="1" applyBorder="1" applyAlignment="1" applyProtection="1">
      <alignment horizontal="center" vertical="center" wrapText="1"/>
      <protection/>
    </xf>
    <xf numFmtId="3" fontId="16" fillId="35" borderId="28" xfId="0" applyNumberFormat="1" applyFont="1" applyFill="1" applyBorder="1" applyAlignment="1" applyProtection="1">
      <alignment horizontal="center" vertical="center" wrapText="1"/>
      <protection/>
    </xf>
    <xf numFmtId="192" fontId="16" fillId="35" borderId="28" xfId="0" applyNumberFormat="1" applyFont="1" applyFill="1" applyBorder="1" applyAlignment="1" applyProtection="1">
      <alignment horizontal="center" vertical="center" wrapText="1"/>
      <protection/>
    </xf>
    <xf numFmtId="4" fontId="21" fillId="37" borderId="28" xfId="0" applyNumberFormat="1" applyFont="1" applyFill="1" applyBorder="1" applyAlignment="1" applyProtection="1">
      <alignment horizontal="center" vertical="center" wrapText="1"/>
      <protection/>
    </xf>
    <xf numFmtId="3" fontId="21" fillId="37" borderId="28" xfId="0" applyNumberFormat="1" applyFont="1" applyFill="1" applyBorder="1" applyAlignment="1" applyProtection="1">
      <alignment horizontal="center" vertical="center" wrapText="1"/>
      <protection/>
    </xf>
    <xf numFmtId="4" fontId="16" fillId="37" borderId="28" xfId="0" applyNumberFormat="1" applyFont="1" applyFill="1" applyBorder="1" applyAlignment="1" applyProtection="1">
      <alignment horizontal="center" vertical="center" wrapText="1"/>
      <protection/>
    </xf>
    <xf numFmtId="3" fontId="16" fillId="37" borderId="28" xfId="0" applyNumberFormat="1" applyFont="1" applyFill="1" applyBorder="1" applyAlignment="1" applyProtection="1">
      <alignment horizontal="center" vertical="center" wrapText="1"/>
      <protection/>
    </xf>
    <xf numFmtId="4" fontId="16" fillId="35" borderId="35" xfId="0" applyNumberFormat="1" applyFont="1" applyFill="1" applyBorder="1" applyAlignment="1" applyProtection="1">
      <alignment horizontal="center" vertical="center" wrapText="1"/>
      <protection/>
    </xf>
    <xf numFmtId="0" fontId="16" fillId="34" borderId="36" xfId="0" applyFont="1" applyFill="1" applyBorder="1" applyAlignment="1" applyProtection="1">
      <alignment horizontal="center"/>
      <protection/>
    </xf>
    <xf numFmtId="0" fontId="18" fillId="35" borderId="37" xfId="0" applyFont="1" applyFill="1" applyBorder="1" applyAlignment="1" applyProtection="1">
      <alignment vertical="center"/>
      <protection/>
    </xf>
    <xf numFmtId="0" fontId="92" fillId="0" borderId="0" xfId="0" applyFont="1" applyAlignment="1">
      <alignment horizontal="center"/>
    </xf>
    <xf numFmtId="0" fontId="92" fillId="0" borderId="0" xfId="0" applyFont="1" applyAlignment="1">
      <alignment horizontal="right"/>
    </xf>
    <xf numFmtId="190" fontId="92" fillId="0" borderId="0" xfId="0" applyNumberFormat="1" applyFont="1" applyAlignment="1">
      <alignment horizontal="right"/>
    </xf>
    <xf numFmtId="49" fontId="92" fillId="0" borderId="0" xfId="0" applyNumberFormat="1" applyFont="1" applyAlignment="1">
      <alignment horizontal="right"/>
    </xf>
    <xf numFmtId="4" fontId="92" fillId="0" borderId="0" xfId="0" applyNumberFormat="1" applyFont="1" applyAlignment="1">
      <alignment horizontal="right"/>
    </xf>
    <xf numFmtId="3" fontId="92" fillId="0" borderId="0" xfId="0" applyNumberFormat="1" applyFont="1" applyAlignment="1">
      <alignment horizontal="right"/>
    </xf>
    <xf numFmtId="0" fontId="26" fillId="11" borderId="38" xfId="0" applyFont="1" applyFill="1" applyBorder="1" applyAlignment="1">
      <alignment horizontal="center"/>
    </xf>
    <xf numFmtId="190" fontId="26" fillId="11" borderId="38" xfId="0" applyNumberFormat="1" applyFont="1" applyFill="1" applyBorder="1" applyAlignment="1">
      <alignment horizontal="center"/>
    </xf>
    <xf numFmtId="49" fontId="26" fillId="11" borderId="38" xfId="0" applyNumberFormat="1" applyFont="1" applyFill="1" applyBorder="1" applyAlignment="1">
      <alignment horizontal="center"/>
    </xf>
    <xf numFmtId="4" fontId="26" fillId="11" borderId="38" xfId="0" applyNumberFormat="1" applyFont="1" applyFill="1" applyBorder="1" applyAlignment="1">
      <alignment horizontal="center"/>
    </xf>
    <xf numFmtId="3" fontId="26" fillId="11" borderId="38" xfId="0" applyNumberFormat="1" applyFont="1" applyFill="1" applyBorder="1" applyAlignment="1">
      <alignment horizontal="center"/>
    </xf>
    <xf numFmtId="0" fontId="92" fillId="0" borderId="10" xfId="0" applyFont="1" applyBorder="1" applyAlignment="1">
      <alignment horizontal="right"/>
    </xf>
    <xf numFmtId="190" fontId="92" fillId="0" borderId="10" xfId="0" applyNumberFormat="1" applyFont="1" applyBorder="1" applyAlignment="1">
      <alignment horizontal="right"/>
    </xf>
    <xf numFmtId="49" fontId="92" fillId="0" borderId="10" xfId="0" applyNumberFormat="1" applyFont="1" applyBorder="1" applyAlignment="1">
      <alignment horizontal="right"/>
    </xf>
    <xf numFmtId="4" fontId="92" fillId="0" borderId="10" xfId="0" applyNumberFormat="1" applyFont="1" applyBorder="1" applyAlignment="1">
      <alignment horizontal="right"/>
    </xf>
    <xf numFmtId="3" fontId="92" fillId="0" borderId="10" xfId="0" applyNumberFormat="1" applyFont="1" applyBorder="1" applyAlignment="1">
      <alignment horizontal="right"/>
    </xf>
    <xf numFmtId="9" fontId="92" fillId="0" borderId="10" xfId="0" applyNumberFormat="1" applyFont="1" applyBorder="1" applyAlignment="1">
      <alignment horizontal="right"/>
    </xf>
    <xf numFmtId="0" fontId="92" fillId="0" borderId="10" xfId="0" applyFont="1" applyBorder="1" applyAlignment="1">
      <alignment horizontal="center"/>
    </xf>
    <xf numFmtId="0" fontId="26" fillId="11" borderId="12" xfId="0" applyFont="1" applyFill="1" applyBorder="1" applyAlignment="1">
      <alignment horizontal="center"/>
    </xf>
    <xf numFmtId="190" fontId="26" fillId="11" borderId="12" xfId="0" applyNumberFormat="1" applyFont="1" applyFill="1" applyBorder="1" applyAlignment="1">
      <alignment horizontal="center"/>
    </xf>
    <xf numFmtId="49" fontId="26" fillId="11" borderId="12" xfId="0" applyNumberFormat="1" applyFont="1" applyFill="1" applyBorder="1" applyAlignment="1">
      <alignment horizontal="center"/>
    </xf>
    <xf numFmtId="4" fontId="26" fillId="11" borderId="12" xfId="0" applyNumberFormat="1" applyFont="1" applyFill="1" applyBorder="1" applyAlignment="1">
      <alignment horizontal="center"/>
    </xf>
    <xf numFmtId="3" fontId="26" fillId="11" borderId="12" xfId="0" applyNumberFormat="1" applyFont="1" applyFill="1" applyBorder="1" applyAlignment="1">
      <alignment horizontal="center"/>
    </xf>
    <xf numFmtId="0" fontId="92" fillId="16" borderId="38" xfId="0" applyFont="1" applyFill="1" applyBorder="1" applyAlignment="1">
      <alignment horizontal="right"/>
    </xf>
    <xf numFmtId="190" fontId="92" fillId="16" borderId="38" xfId="0" applyNumberFormat="1" applyFont="1" applyFill="1" applyBorder="1" applyAlignment="1">
      <alignment horizontal="right"/>
    </xf>
    <xf numFmtId="49" fontId="92" fillId="16" borderId="38" xfId="0" applyNumberFormat="1" applyFont="1" applyFill="1" applyBorder="1" applyAlignment="1">
      <alignment horizontal="right"/>
    </xf>
    <xf numFmtId="4" fontId="92" fillId="16" borderId="38" xfId="0" applyNumberFormat="1" applyFont="1" applyFill="1" applyBorder="1" applyAlignment="1">
      <alignment horizontal="right"/>
    </xf>
    <xf numFmtId="3" fontId="92" fillId="16" borderId="38" xfId="0" applyNumberFormat="1" applyFont="1" applyFill="1" applyBorder="1" applyAlignment="1">
      <alignment horizontal="right"/>
    </xf>
    <xf numFmtId="9" fontId="92" fillId="16" borderId="38" xfId="0" applyNumberFormat="1" applyFont="1" applyFill="1" applyBorder="1" applyAlignment="1">
      <alignment horizontal="right"/>
    </xf>
    <xf numFmtId="0" fontId="92" fillId="16" borderId="38" xfId="0" applyFont="1" applyFill="1" applyBorder="1" applyAlignment="1">
      <alignment horizontal="center"/>
    </xf>
    <xf numFmtId="3" fontId="92" fillId="0" borderId="32" xfId="0" applyNumberFormat="1" applyFont="1" applyBorder="1" applyAlignment="1">
      <alignment horizontal="right"/>
    </xf>
    <xf numFmtId="3" fontId="92" fillId="16" borderId="39" xfId="0" applyNumberFormat="1" applyFont="1" applyFill="1" applyBorder="1" applyAlignment="1">
      <alignment horizontal="right"/>
    </xf>
    <xf numFmtId="4" fontId="92" fillId="0" borderId="40" xfId="0" applyNumberFormat="1" applyFont="1" applyBorder="1" applyAlignment="1">
      <alignment horizontal="right"/>
    </xf>
    <xf numFmtId="4" fontId="92" fillId="16" borderId="41" xfId="0" applyNumberFormat="1" applyFont="1" applyFill="1" applyBorder="1" applyAlignment="1">
      <alignment horizontal="right"/>
    </xf>
    <xf numFmtId="0" fontId="44" fillId="0" borderId="0" xfId="0" applyFont="1" applyAlignment="1">
      <alignment horizontal="center"/>
    </xf>
    <xf numFmtId="49" fontId="44" fillId="0" borderId="0" xfId="0" applyNumberFormat="1" applyFont="1" applyAlignment="1">
      <alignment horizontal="center"/>
    </xf>
    <xf numFmtId="0" fontId="166" fillId="38" borderId="0" xfId="0" applyFont="1" applyFill="1" applyAlignment="1">
      <alignment horizontal="center" vertical="center"/>
    </xf>
    <xf numFmtId="0" fontId="166" fillId="38" borderId="0" xfId="0" applyFont="1" applyFill="1" applyAlignment="1">
      <alignment horizontal="center"/>
    </xf>
    <xf numFmtId="2" fontId="0" fillId="0" borderId="0" xfId="0" applyNumberFormat="1" applyFont="1" applyAlignment="1">
      <alignment/>
    </xf>
    <xf numFmtId="2" fontId="0" fillId="0" borderId="0" xfId="0" applyNumberFormat="1" applyFont="1" applyAlignment="1">
      <alignment horizontal="right"/>
    </xf>
    <xf numFmtId="0" fontId="0" fillId="0" borderId="0" xfId="0" applyFont="1" applyAlignment="1">
      <alignment horizontal="center"/>
    </xf>
    <xf numFmtId="2" fontId="0" fillId="0" borderId="0" xfId="0" applyNumberFormat="1" applyFont="1" applyBorder="1" applyAlignment="1">
      <alignment horizontal="right"/>
    </xf>
    <xf numFmtId="2" fontId="44" fillId="0" borderId="0" xfId="0" applyNumberFormat="1" applyFont="1" applyAlignment="1">
      <alignment horizontal="center"/>
    </xf>
    <xf numFmtId="2" fontId="44" fillId="0" borderId="0" xfId="0" applyNumberFormat="1" applyFont="1" applyAlignment="1">
      <alignment horizontal="right"/>
    </xf>
    <xf numFmtId="0" fontId="44" fillId="0" borderId="0" xfId="0" applyFont="1" applyAlignment="1">
      <alignment horizontal="right"/>
    </xf>
    <xf numFmtId="0" fontId="44" fillId="0" borderId="0" xfId="0" applyFont="1" applyAlignment="1">
      <alignment/>
    </xf>
    <xf numFmtId="0" fontId="167" fillId="38" borderId="0" xfId="0" applyFont="1" applyFill="1" applyAlignment="1">
      <alignment horizontal="center" vertical="center"/>
    </xf>
    <xf numFmtId="0" fontId="167" fillId="0" borderId="0" xfId="0" applyFont="1" applyAlignment="1">
      <alignment/>
    </xf>
    <xf numFmtId="2" fontId="167" fillId="38" borderId="0" xfId="0" applyNumberFormat="1" applyFont="1" applyFill="1" applyAlignment="1">
      <alignment horizontal="right"/>
    </xf>
    <xf numFmtId="0" fontId="167" fillId="0" borderId="0" xfId="0" applyFont="1" applyAlignment="1">
      <alignment horizontal="right"/>
    </xf>
    <xf numFmtId="0" fontId="167" fillId="38" borderId="11" xfId="0" applyFont="1" applyFill="1" applyBorder="1" applyAlignment="1">
      <alignment horizontal="center" vertical="center"/>
    </xf>
    <xf numFmtId="0" fontId="166" fillId="38" borderId="11" xfId="0" applyFont="1" applyFill="1" applyBorder="1" applyAlignment="1">
      <alignment horizontal="center" vertical="center"/>
    </xf>
    <xf numFmtId="0" fontId="166" fillId="38" borderId="11" xfId="0" applyFont="1" applyFill="1" applyBorder="1" applyAlignment="1">
      <alignment horizontal="center"/>
    </xf>
    <xf numFmtId="0" fontId="44" fillId="0" borderId="11" xfId="0" applyFont="1" applyBorder="1" applyAlignment="1">
      <alignment/>
    </xf>
    <xf numFmtId="2" fontId="167" fillId="38" borderId="11" xfId="0" applyNumberFormat="1" applyFont="1" applyFill="1" applyBorder="1" applyAlignment="1">
      <alignment horizontal="right"/>
    </xf>
    <xf numFmtId="2" fontId="0" fillId="0" borderId="11" xfId="0" applyNumberFormat="1" applyFont="1" applyBorder="1" applyAlignment="1">
      <alignment horizontal="right"/>
    </xf>
    <xf numFmtId="0" fontId="0" fillId="0" borderId="11" xfId="0" applyFont="1" applyBorder="1" applyAlignment="1">
      <alignment horizontal="center"/>
    </xf>
    <xf numFmtId="2" fontId="0" fillId="0" borderId="11" xfId="0" applyNumberFormat="1" applyFont="1" applyBorder="1" applyAlignment="1">
      <alignment/>
    </xf>
    <xf numFmtId="0" fontId="65" fillId="0" borderId="0" xfId="0" applyFont="1" applyAlignment="1">
      <alignment/>
    </xf>
    <xf numFmtId="0" fontId="44" fillId="39" borderId="0" xfId="0" applyFont="1" applyFill="1" applyAlignment="1">
      <alignment/>
    </xf>
    <xf numFmtId="0" fontId="44" fillId="36" borderId="0" xfId="0" applyFont="1" applyFill="1" applyAlignment="1">
      <alignment/>
    </xf>
    <xf numFmtId="0" fontId="65" fillId="36" borderId="0" xfId="0" applyFont="1" applyFill="1" applyAlignment="1">
      <alignment/>
    </xf>
    <xf numFmtId="0" fontId="65" fillId="36" borderId="0" xfId="0" applyFont="1" applyFill="1" applyAlignment="1">
      <alignment horizontal="center"/>
    </xf>
    <xf numFmtId="0" fontId="44" fillId="36" borderId="11" xfId="0" applyFont="1" applyFill="1" applyBorder="1" applyAlignment="1">
      <alignment/>
    </xf>
    <xf numFmtId="0" fontId="65" fillId="36" borderId="11" xfId="0" applyFont="1" applyFill="1" applyBorder="1" applyAlignment="1">
      <alignment horizontal="center"/>
    </xf>
    <xf numFmtId="2" fontId="44" fillId="40" borderId="11" xfId="0" applyNumberFormat="1" applyFont="1" applyFill="1" applyBorder="1" applyAlignment="1">
      <alignment/>
    </xf>
    <xf numFmtId="0" fontId="168" fillId="39" borderId="0" xfId="0" applyFont="1" applyFill="1" applyAlignment="1">
      <alignment horizontal="left"/>
    </xf>
    <xf numFmtId="0" fontId="168" fillId="36" borderId="0" xfId="0" applyFont="1" applyFill="1" applyAlignment="1">
      <alignment horizontal="left"/>
    </xf>
    <xf numFmtId="0" fontId="168" fillId="39" borderId="0" xfId="0" applyFont="1" applyFill="1" applyAlignment="1" applyProtection="1">
      <alignment horizontal="left" vertical="center"/>
      <protection locked="0"/>
    </xf>
    <xf numFmtId="0" fontId="168" fillId="36" borderId="11" xfId="0" applyFont="1" applyFill="1" applyBorder="1" applyAlignment="1">
      <alignment horizontal="left"/>
    </xf>
    <xf numFmtId="0" fontId="69" fillId="39" borderId="0" xfId="0" applyFont="1" applyFill="1" applyAlignment="1">
      <alignment horizontal="left"/>
    </xf>
    <xf numFmtId="0" fontId="69" fillId="36" borderId="0" xfId="0" applyFont="1" applyFill="1" applyAlignment="1">
      <alignment horizontal="left"/>
    </xf>
    <xf numFmtId="0" fontId="69" fillId="39" borderId="0" xfId="0" applyFont="1" applyFill="1" applyAlignment="1" applyProtection="1">
      <alignment horizontal="left" vertical="center"/>
      <protection locked="0"/>
    </xf>
    <xf numFmtId="0" fontId="69" fillId="36" borderId="11" xfId="0" applyFont="1" applyFill="1" applyBorder="1" applyAlignment="1">
      <alignment horizontal="left"/>
    </xf>
    <xf numFmtId="0" fontId="169" fillId="39" borderId="0" xfId="0" applyFont="1" applyFill="1" applyAlignment="1">
      <alignment/>
    </xf>
    <xf numFmtId="0" fontId="169" fillId="0" borderId="0" xfId="0" applyFont="1" applyAlignment="1">
      <alignment/>
    </xf>
    <xf numFmtId="0" fontId="170" fillId="39" borderId="0" xfId="0" applyFont="1" applyFill="1" applyAlignment="1">
      <alignment/>
    </xf>
    <xf numFmtId="0" fontId="170" fillId="0" borderId="0" xfId="0" applyFont="1" applyAlignment="1">
      <alignment/>
    </xf>
    <xf numFmtId="0" fontId="171" fillId="39" borderId="0" xfId="0" applyFont="1" applyFill="1" applyAlignment="1">
      <alignment/>
    </xf>
    <xf numFmtId="0" fontId="169" fillId="36" borderId="0" xfId="0" applyFont="1" applyFill="1" applyAlignment="1">
      <alignment/>
    </xf>
    <xf numFmtId="0" fontId="171" fillId="0" borderId="11" xfId="0" applyFont="1" applyBorder="1" applyAlignment="1">
      <alignment/>
    </xf>
    <xf numFmtId="0" fontId="0" fillId="36" borderId="0" xfId="0" applyFill="1" applyAlignment="1">
      <alignment/>
    </xf>
    <xf numFmtId="204" fontId="34" fillId="35" borderId="11" xfId="0" applyNumberFormat="1" applyFont="1" applyFill="1" applyBorder="1" applyAlignment="1" applyProtection="1">
      <alignment vertical="center"/>
      <protection/>
    </xf>
    <xf numFmtId="0" fontId="34" fillId="35" borderId="11" xfId="0" applyFont="1" applyFill="1" applyBorder="1" applyAlignment="1" applyProtection="1">
      <alignment vertical="center"/>
      <protection/>
    </xf>
    <xf numFmtId="0" fontId="12" fillId="35" borderId="11" xfId="0" applyNumberFormat="1" applyFont="1" applyFill="1" applyBorder="1" applyAlignment="1" applyProtection="1">
      <alignment vertical="center"/>
      <protection/>
    </xf>
    <xf numFmtId="190" fontId="12" fillId="35" borderId="11" xfId="0" applyNumberFormat="1" applyFont="1" applyFill="1" applyBorder="1" applyAlignment="1" applyProtection="1">
      <alignment horizontal="center" vertical="center"/>
      <protection/>
    </xf>
    <xf numFmtId="49" fontId="12" fillId="35" borderId="11" xfId="0" applyNumberFormat="1" applyFont="1" applyFill="1" applyBorder="1" applyAlignment="1" applyProtection="1">
      <alignment vertical="center"/>
      <protection/>
    </xf>
    <xf numFmtId="0" fontId="12" fillId="35" borderId="11" xfId="0" applyFont="1" applyFill="1" applyBorder="1" applyAlignment="1">
      <alignment vertical="center"/>
    </xf>
    <xf numFmtId="4" fontId="12" fillId="35" borderId="11" xfId="40" applyNumberFormat="1" applyFont="1" applyFill="1" applyBorder="1" applyAlignment="1">
      <alignment vertical="center"/>
    </xf>
    <xf numFmtId="3" fontId="12" fillId="35" borderId="11" xfId="40" applyNumberFormat="1" applyFont="1" applyFill="1" applyBorder="1" applyAlignment="1">
      <alignment vertical="center"/>
    </xf>
    <xf numFmtId="4" fontId="46" fillId="35" borderId="11" xfId="40" applyNumberFormat="1" applyFont="1" applyFill="1" applyBorder="1" applyAlignment="1">
      <alignment vertical="center"/>
    </xf>
    <xf numFmtId="3" fontId="46" fillId="35" borderId="11" xfId="40" applyNumberFormat="1" applyFont="1" applyFill="1" applyBorder="1" applyAlignment="1">
      <alignment vertical="center"/>
    </xf>
    <xf numFmtId="3" fontId="46" fillId="35" borderId="11" xfId="70" applyNumberFormat="1" applyFont="1" applyFill="1" applyBorder="1" applyAlignment="1" applyProtection="1">
      <alignment vertical="center"/>
      <protection/>
    </xf>
    <xf numFmtId="4" fontId="46" fillId="35" borderId="11" xfId="70" applyNumberFormat="1" applyFont="1" applyFill="1" applyBorder="1" applyAlignment="1" applyProtection="1">
      <alignment vertical="center"/>
      <protection/>
    </xf>
    <xf numFmtId="192" fontId="46" fillId="35" borderId="11" xfId="70" applyNumberFormat="1" applyFont="1" applyFill="1" applyBorder="1" applyAlignment="1" applyProtection="1">
      <alignment vertical="center"/>
      <protection/>
    </xf>
    <xf numFmtId="4" fontId="46" fillId="35" borderId="11" xfId="0" applyNumberFormat="1" applyFont="1" applyFill="1" applyBorder="1" applyAlignment="1">
      <alignment vertical="center"/>
    </xf>
    <xf numFmtId="3" fontId="46" fillId="35" borderId="11" xfId="0" applyNumberFormat="1" applyFont="1" applyFill="1" applyBorder="1" applyAlignment="1">
      <alignment vertical="center"/>
    </xf>
    <xf numFmtId="192" fontId="12" fillId="35" borderId="11" xfId="70" applyNumberFormat="1" applyFont="1" applyFill="1" applyBorder="1" applyAlignment="1" applyProtection="1">
      <alignment vertical="center"/>
      <protection/>
    </xf>
    <xf numFmtId="3" fontId="12" fillId="35" borderId="11" xfId="70" applyNumberFormat="1" applyFont="1" applyFill="1" applyBorder="1" applyAlignment="1" applyProtection="1">
      <alignment vertical="center"/>
      <protection/>
    </xf>
    <xf numFmtId="4" fontId="12" fillId="35" borderId="11" xfId="70" applyNumberFormat="1" applyFont="1" applyFill="1" applyBorder="1" applyAlignment="1" applyProtection="1">
      <alignment vertical="center"/>
      <protection/>
    </xf>
    <xf numFmtId="186" fontId="47" fillId="35" borderId="11" xfId="43" applyNumberFormat="1" applyFont="1" applyFill="1" applyBorder="1" applyAlignment="1" applyProtection="1">
      <alignment vertical="center"/>
      <protection/>
    </xf>
    <xf numFmtId="0" fontId="18" fillId="35" borderId="42" xfId="0" applyFont="1" applyFill="1" applyBorder="1" applyAlignment="1" applyProtection="1">
      <alignment vertical="center"/>
      <protection/>
    </xf>
    <xf numFmtId="0" fontId="172" fillId="33" borderId="20" xfId="0" applyNumberFormat="1" applyFont="1" applyFill="1" applyBorder="1" applyAlignment="1" applyProtection="1">
      <alignment horizontal="center" vertical="center"/>
      <protection/>
    </xf>
    <xf numFmtId="0" fontId="34" fillId="36" borderId="20" xfId="0" applyNumberFormat="1" applyFont="1" applyFill="1" applyBorder="1" applyAlignment="1" applyProtection="1">
      <alignment horizontal="center" vertical="center"/>
      <protection/>
    </xf>
    <xf numFmtId="204" fontId="172" fillId="36" borderId="20" xfId="0" applyNumberFormat="1" applyFont="1" applyFill="1" applyBorder="1" applyAlignment="1" applyProtection="1">
      <alignment horizontal="center" vertical="center"/>
      <protection/>
    </xf>
    <xf numFmtId="0" fontId="172" fillId="41" borderId="20" xfId="0" applyNumberFormat="1" applyFont="1" applyFill="1" applyBorder="1" applyAlignment="1" applyProtection="1">
      <alignment horizontal="center" vertical="center"/>
      <protection/>
    </xf>
    <xf numFmtId="0" fontId="46" fillId="7" borderId="20" xfId="0" applyNumberFormat="1" applyFont="1" applyFill="1" applyBorder="1" applyAlignment="1" applyProtection="1">
      <alignment vertical="center"/>
      <protection locked="0"/>
    </xf>
    <xf numFmtId="0" fontId="172" fillId="36" borderId="20" xfId="0" applyNumberFormat="1" applyFont="1" applyFill="1" applyBorder="1" applyAlignment="1" applyProtection="1">
      <alignment horizontal="center" vertical="center"/>
      <protection/>
    </xf>
    <xf numFmtId="0" fontId="46" fillId="7" borderId="20" xfId="0" applyNumberFormat="1" applyFont="1" applyFill="1" applyBorder="1" applyAlignment="1">
      <alignment vertical="center"/>
    </xf>
    <xf numFmtId="0" fontId="34" fillId="42" borderId="20" xfId="0" applyNumberFormat="1" applyFont="1" applyFill="1" applyBorder="1" applyAlignment="1" applyProtection="1">
      <alignment horizontal="center" vertical="center"/>
      <protection/>
    </xf>
    <xf numFmtId="0" fontId="34" fillId="43" borderId="20" xfId="0" applyNumberFormat="1" applyFont="1" applyFill="1" applyBorder="1" applyAlignment="1" applyProtection="1">
      <alignment horizontal="center" vertical="center"/>
      <protection/>
    </xf>
    <xf numFmtId="204" fontId="46" fillId="7" borderId="20" xfId="0" applyNumberFormat="1" applyFont="1" applyFill="1" applyBorder="1" applyAlignment="1">
      <alignment vertical="center"/>
    </xf>
    <xf numFmtId="0" fontId="172" fillId="36" borderId="20" xfId="0" applyFont="1" applyFill="1" applyBorder="1" applyAlignment="1" applyProtection="1">
      <alignment horizontal="center" vertical="center"/>
      <protection/>
    </xf>
    <xf numFmtId="0" fontId="34" fillId="37" borderId="20" xfId="0" applyNumberFormat="1" applyFont="1" applyFill="1" applyBorder="1" applyAlignment="1" applyProtection="1">
      <alignment horizontal="center" vertical="center"/>
      <protection/>
    </xf>
    <xf numFmtId="0" fontId="172" fillId="44" borderId="20" xfId="0" applyNumberFormat="1" applyFont="1" applyFill="1" applyBorder="1" applyAlignment="1" applyProtection="1">
      <alignment horizontal="center" vertical="center"/>
      <protection/>
    </xf>
    <xf numFmtId="0" fontId="172" fillId="0" borderId="20" xfId="0" applyNumberFormat="1" applyFont="1" applyFill="1" applyBorder="1" applyAlignment="1" applyProtection="1">
      <alignment horizontal="center" vertical="center"/>
      <protection/>
    </xf>
    <xf numFmtId="0" fontId="34" fillId="0" borderId="20" xfId="0" applyNumberFormat="1" applyFont="1" applyFill="1" applyBorder="1" applyAlignment="1" applyProtection="1">
      <alignment horizontal="center" vertical="center"/>
      <protection/>
    </xf>
    <xf numFmtId="0" fontId="46" fillId="7" borderId="20" xfId="0" applyFont="1" applyFill="1" applyBorder="1" applyAlignment="1" applyProtection="1">
      <alignment vertical="center"/>
      <protection locked="0"/>
    </xf>
    <xf numFmtId="0" fontId="48" fillId="36" borderId="20" xfId="0" applyFont="1" applyFill="1" applyBorder="1" applyAlignment="1" applyProtection="1">
      <alignment horizontal="center" vertical="center"/>
      <protection/>
    </xf>
    <xf numFmtId="0" fontId="10" fillId="36" borderId="20" xfId="0" applyFont="1" applyFill="1" applyBorder="1" applyAlignment="1" applyProtection="1">
      <alignment horizontal="center" vertical="center"/>
      <protection/>
    </xf>
    <xf numFmtId="0" fontId="173" fillId="36" borderId="20" xfId="0" applyFont="1" applyFill="1" applyBorder="1" applyAlignment="1" applyProtection="1">
      <alignment horizontal="center" vertical="center"/>
      <protection/>
    </xf>
    <xf numFmtId="0" fontId="46" fillId="7" borderId="20" xfId="0" applyFont="1" applyFill="1" applyBorder="1" applyAlignment="1">
      <alignment vertical="center"/>
    </xf>
    <xf numFmtId="0" fontId="34" fillId="45" borderId="20" xfId="0" applyNumberFormat="1" applyFont="1" applyFill="1" applyBorder="1" applyAlignment="1" applyProtection="1">
      <alignment horizontal="center" vertical="center"/>
      <protection/>
    </xf>
    <xf numFmtId="0" fontId="174" fillId="33" borderId="20" xfId="0" applyFont="1" applyFill="1" applyBorder="1" applyAlignment="1" applyProtection="1">
      <alignment horizontal="center" vertical="center"/>
      <protection/>
    </xf>
    <xf numFmtId="0" fontId="46" fillId="7" borderId="20" xfId="0" applyNumberFormat="1" applyFont="1" applyFill="1" applyBorder="1" applyAlignment="1" applyProtection="1">
      <alignment vertical="center"/>
      <protection/>
    </xf>
    <xf numFmtId="0" fontId="46" fillId="7" borderId="20" xfId="57" applyFont="1" applyFill="1" applyBorder="1" applyAlignment="1">
      <alignment vertical="center"/>
      <protection/>
    </xf>
    <xf numFmtId="0" fontId="174" fillId="36" borderId="20" xfId="0" applyFont="1" applyFill="1" applyBorder="1" applyAlignment="1" applyProtection="1">
      <alignment horizontal="center" vertical="center"/>
      <protection/>
    </xf>
    <xf numFmtId="0" fontId="48" fillId="0" borderId="20" xfId="0" applyFont="1" applyFill="1" applyBorder="1" applyAlignment="1" applyProtection="1">
      <alignment horizontal="center" vertical="center"/>
      <protection/>
    </xf>
    <xf numFmtId="0" fontId="12" fillId="0" borderId="20" xfId="0" applyNumberFormat="1" applyFont="1" applyFill="1" applyBorder="1" applyAlignment="1" applyProtection="1">
      <alignment horizontal="right" vertical="center"/>
      <protection locked="0"/>
    </xf>
    <xf numFmtId="4" fontId="12" fillId="0" borderId="20" xfId="0" applyNumberFormat="1" applyFont="1" applyFill="1" applyBorder="1" applyAlignment="1">
      <alignment horizontal="right" vertical="center"/>
    </xf>
    <xf numFmtId="2" fontId="12" fillId="8" borderId="20" xfId="0" applyNumberFormat="1" applyFont="1" applyFill="1" applyBorder="1" applyAlignment="1" applyProtection="1">
      <alignment horizontal="right" vertical="center"/>
      <protection/>
    </xf>
    <xf numFmtId="0" fontId="12" fillId="0" borderId="20" xfId="0" applyFont="1" applyFill="1" applyBorder="1" applyAlignment="1">
      <alignment horizontal="right" vertical="center"/>
    </xf>
    <xf numFmtId="0" fontId="12" fillId="0" borderId="20" xfId="0" applyFont="1" applyFill="1" applyBorder="1" applyAlignment="1" applyProtection="1">
      <alignment horizontal="right" vertical="center"/>
      <protection locked="0"/>
    </xf>
    <xf numFmtId="3" fontId="12" fillId="0" borderId="20" xfId="0" applyNumberFormat="1" applyFont="1" applyFill="1" applyBorder="1" applyAlignment="1">
      <alignment horizontal="right" vertical="center"/>
    </xf>
    <xf numFmtId="190" fontId="12" fillId="0" borderId="20" xfId="0" applyNumberFormat="1" applyFont="1" applyFill="1" applyBorder="1" applyAlignment="1" applyProtection="1">
      <alignment horizontal="center" vertical="center"/>
      <protection/>
    </xf>
    <xf numFmtId="0" fontId="12" fillId="7" borderId="43" xfId="0" applyNumberFormat="1" applyFont="1" applyFill="1" applyBorder="1" applyAlignment="1" applyProtection="1">
      <alignment vertical="center"/>
      <protection/>
    </xf>
    <xf numFmtId="190" fontId="12" fillId="7" borderId="20" xfId="0" applyNumberFormat="1" applyFont="1" applyFill="1" applyBorder="1" applyAlignment="1" applyProtection="1">
      <alignment horizontal="center" vertical="center"/>
      <protection locked="0"/>
    </xf>
    <xf numFmtId="190" fontId="12" fillId="7" borderId="20" xfId="0" applyNumberFormat="1" applyFont="1" applyFill="1" applyBorder="1" applyAlignment="1" applyProtection="1">
      <alignment horizontal="center" vertical="center"/>
      <protection/>
    </xf>
    <xf numFmtId="190" fontId="12" fillId="7" borderId="43" xfId="0" applyNumberFormat="1" applyFont="1" applyFill="1" applyBorder="1" applyAlignment="1" applyProtection="1">
      <alignment horizontal="center" vertical="center"/>
      <protection locked="0"/>
    </xf>
    <xf numFmtId="0" fontId="172" fillId="46" borderId="20" xfId="0" applyNumberFormat="1" applyFont="1" applyFill="1" applyBorder="1" applyAlignment="1" applyProtection="1">
      <alignment horizontal="center" vertical="center"/>
      <protection/>
    </xf>
    <xf numFmtId="0" fontId="172" fillId="47" borderId="20" xfId="0" applyNumberFormat="1" applyFont="1" applyFill="1" applyBorder="1" applyAlignment="1" applyProtection="1">
      <alignment horizontal="center" vertical="center"/>
      <protection/>
    </xf>
    <xf numFmtId="0" fontId="34" fillId="37" borderId="20" xfId="0" applyNumberFormat="1" applyFont="1" applyFill="1" applyBorder="1" applyAlignment="1" applyProtection="1">
      <alignment horizontal="center" vertical="center"/>
      <protection/>
    </xf>
    <xf numFmtId="0" fontId="34" fillId="45" borderId="20" xfId="0" applyNumberFormat="1" applyFont="1" applyFill="1" applyBorder="1" applyAlignment="1" applyProtection="1">
      <alignment horizontal="center" vertical="center"/>
      <protection/>
    </xf>
    <xf numFmtId="0" fontId="34" fillId="43" borderId="20" xfId="0" applyNumberFormat="1" applyFont="1" applyFill="1" applyBorder="1" applyAlignment="1" applyProtection="1">
      <alignment horizontal="center" vertical="center"/>
      <protection/>
    </xf>
    <xf numFmtId="0" fontId="172" fillId="48" borderId="20" xfId="0" applyNumberFormat="1" applyFont="1" applyFill="1" applyBorder="1" applyAlignment="1" applyProtection="1">
      <alignment horizontal="center" vertical="center"/>
      <protection/>
    </xf>
    <xf numFmtId="0" fontId="172" fillId="49" borderId="20" xfId="0" applyNumberFormat="1" applyFont="1" applyFill="1" applyBorder="1" applyAlignment="1" applyProtection="1">
      <alignment horizontal="center" vertical="center"/>
      <protection/>
    </xf>
    <xf numFmtId="2" fontId="0" fillId="0" borderId="0" xfId="0" applyNumberFormat="1" applyFont="1" applyAlignment="1">
      <alignment/>
    </xf>
    <xf numFmtId="0" fontId="169" fillId="39" borderId="11" xfId="0" applyFont="1" applyFill="1" applyBorder="1" applyAlignment="1">
      <alignment/>
    </xf>
    <xf numFmtId="0" fontId="69" fillId="39" borderId="11" xfId="0" applyFont="1" applyFill="1" applyBorder="1" applyAlignment="1">
      <alignment horizontal="left"/>
    </xf>
    <xf numFmtId="0" fontId="171" fillId="36" borderId="0" xfId="0" applyFont="1" applyFill="1" applyAlignment="1">
      <alignment/>
    </xf>
    <xf numFmtId="0" fontId="44" fillId="0" borderId="0" xfId="0" applyFont="1" applyBorder="1" applyAlignment="1">
      <alignment/>
    </xf>
    <xf numFmtId="0" fontId="69" fillId="36" borderId="0" xfId="0" applyFont="1" applyFill="1" applyBorder="1" applyAlignment="1">
      <alignment horizontal="left"/>
    </xf>
    <xf numFmtId="0" fontId="0" fillId="0" borderId="0" xfId="0" applyFont="1" applyBorder="1" applyAlignment="1">
      <alignment horizontal="center"/>
    </xf>
    <xf numFmtId="0" fontId="65" fillId="0" borderId="0" xfId="0" applyFont="1" applyBorder="1" applyAlignment="1">
      <alignment/>
    </xf>
    <xf numFmtId="0" fontId="167" fillId="0" borderId="0" xfId="0" applyFont="1" applyBorder="1" applyAlignment="1">
      <alignment/>
    </xf>
    <xf numFmtId="0" fontId="0" fillId="0" borderId="0" xfId="0" applyBorder="1" applyAlignment="1">
      <alignment/>
    </xf>
    <xf numFmtId="2" fontId="167" fillId="38" borderId="0" xfId="0" applyNumberFormat="1" applyFont="1" applyFill="1" applyAlignment="1">
      <alignment/>
    </xf>
    <xf numFmtId="0" fontId="44" fillId="39" borderId="11" xfId="0" applyFont="1" applyFill="1" applyBorder="1" applyAlignment="1">
      <alignment/>
    </xf>
    <xf numFmtId="2" fontId="167" fillId="38" borderId="11" xfId="0" applyNumberFormat="1" applyFont="1" applyFill="1"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0" fontId="92" fillId="0" borderId="38" xfId="0" applyFont="1" applyBorder="1" applyAlignment="1">
      <alignment horizontal="right"/>
    </xf>
    <xf numFmtId="190" fontId="92" fillId="0" borderId="38" xfId="0" applyNumberFormat="1" applyFont="1" applyBorder="1" applyAlignment="1">
      <alignment horizontal="right"/>
    </xf>
    <xf numFmtId="49" fontId="92" fillId="0" borderId="38" xfId="0" applyNumberFormat="1" applyFont="1" applyBorder="1" applyAlignment="1">
      <alignment horizontal="right"/>
    </xf>
    <xf numFmtId="4" fontId="92" fillId="0" borderId="38" xfId="0" applyNumberFormat="1" applyFont="1" applyBorder="1" applyAlignment="1">
      <alignment horizontal="right"/>
    </xf>
    <xf numFmtId="3" fontId="92" fillId="0" borderId="38" xfId="0" applyNumberFormat="1" applyFont="1" applyBorder="1" applyAlignment="1">
      <alignment horizontal="right"/>
    </xf>
    <xf numFmtId="9" fontId="92" fillId="0" borderId="38" xfId="0" applyNumberFormat="1" applyFont="1" applyBorder="1" applyAlignment="1">
      <alignment horizontal="right"/>
    </xf>
    <xf numFmtId="0" fontId="92" fillId="0" borderId="38" xfId="0" applyFont="1" applyBorder="1" applyAlignment="1">
      <alignment horizontal="center"/>
    </xf>
    <xf numFmtId="204" fontId="46" fillId="7" borderId="19" xfId="0" applyNumberFormat="1" applyFont="1" applyFill="1" applyBorder="1" applyAlignment="1">
      <alignment vertical="center"/>
    </xf>
    <xf numFmtId="204" fontId="12" fillId="7" borderId="19" xfId="0" applyNumberFormat="1" applyFont="1" applyFill="1" applyBorder="1" applyAlignment="1">
      <alignment vertical="center"/>
    </xf>
    <xf numFmtId="0" fontId="12" fillId="7" borderId="43" xfId="0" applyFont="1" applyFill="1" applyBorder="1" applyAlignment="1">
      <alignment vertical="center"/>
    </xf>
    <xf numFmtId="0" fontId="12" fillId="7" borderId="19" xfId="0" applyFont="1" applyFill="1" applyBorder="1" applyAlignment="1" applyProtection="1">
      <alignment vertical="center"/>
      <protection/>
    </xf>
    <xf numFmtId="0" fontId="70" fillId="0" borderId="0" xfId="0" applyFont="1" applyFill="1" applyBorder="1" applyAlignment="1" applyProtection="1">
      <alignment horizontal="center" vertical="center"/>
      <protection/>
    </xf>
    <xf numFmtId="0" fontId="71" fillId="50" borderId="0" xfId="0" applyFont="1" applyFill="1" applyBorder="1" applyAlignment="1" applyProtection="1">
      <alignment horizontal="center" vertical="center"/>
      <protection/>
    </xf>
    <xf numFmtId="0" fontId="4" fillId="50" borderId="0" xfId="0" applyFont="1" applyFill="1" applyAlignment="1" applyProtection="1">
      <alignment vertical="center"/>
      <protection locked="0"/>
    </xf>
    <xf numFmtId="190" fontId="12" fillId="0" borderId="43" xfId="0" applyNumberFormat="1" applyFont="1" applyFill="1" applyBorder="1" applyAlignment="1" applyProtection="1">
      <alignment horizontal="center" vertical="center"/>
      <protection/>
    </xf>
    <xf numFmtId="0" fontId="174" fillId="0" borderId="20" xfId="0" applyFont="1" applyFill="1" applyBorder="1" applyAlignment="1" applyProtection="1">
      <alignment horizontal="center" vertical="center"/>
      <protection/>
    </xf>
    <xf numFmtId="0" fontId="12" fillId="7" borderId="20" xfId="0" applyFont="1" applyFill="1" applyBorder="1" applyAlignment="1">
      <alignment horizontal="right" vertical="center"/>
    </xf>
    <xf numFmtId="0" fontId="12" fillId="7" borderId="20" xfId="0" applyNumberFormat="1" applyFont="1" applyFill="1" applyBorder="1" applyAlignment="1">
      <alignment horizontal="right" vertical="center"/>
    </xf>
    <xf numFmtId="0" fontId="12" fillId="7" borderId="20" xfId="0" applyFont="1" applyFill="1" applyBorder="1" applyAlignment="1" applyProtection="1">
      <alignment horizontal="right" vertical="center"/>
      <protection locked="0"/>
    </xf>
    <xf numFmtId="1" fontId="12" fillId="7" borderId="20" xfId="0" applyNumberFormat="1" applyFont="1" applyFill="1" applyBorder="1" applyAlignment="1">
      <alignment horizontal="right"/>
    </xf>
    <xf numFmtId="0" fontId="12" fillId="7" borderId="20" xfId="0" applyNumberFormat="1" applyFont="1" applyFill="1" applyBorder="1" applyAlignment="1" applyProtection="1">
      <alignment horizontal="right" vertical="center"/>
      <protection locked="0"/>
    </xf>
    <xf numFmtId="1" fontId="12" fillId="7" borderId="20" xfId="0" applyNumberFormat="1" applyFont="1" applyFill="1" applyBorder="1" applyAlignment="1">
      <alignment horizontal="right" vertical="center"/>
    </xf>
    <xf numFmtId="0" fontId="12" fillId="7" borderId="19" xfId="0" applyFont="1" applyFill="1" applyBorder="1" applyAlignment="1">
      <alignment vertical="center"/>
    </xf>
    <xf numFmtId="0" fontId="12" fillId="0" borderId="19" xfId="0" applyFont="1" applyFill="1" applyBorder="1" applyAlignment="1">
      <alignment vertical="center"/>
    </xf>
    <xf numFmtId="4" fontId="12" fillId="0" borderId="19" xfId="40" applyNumberFormat="1" applyFont="1" applyFill="1" applyBorder="1" applyAlignment="1">
      <alignment vertical="center"/>
    </xf>
    <xf numFmtId="3" fontId="12" fillId="8" borderId="19" xfId="70" applyNumberFormat="1" applyFont="1" applyFill="1" applyBorder="1" applyAlignment="1" applyProtection="1">
      <alignment vertical="center"/>
      <protection/>
    </xf>
    <xf numFmtId="2" fontId="12" fillId="8" borderId="19" xfId="70" applyNumberFormat="1" applyFont="1" applyFill="1" applyBorder="1" applyAlignment="1" applyProtection="1">
      <alignment vertical="center"/>
      <protection/>
    </xf>
    <xf numFmtId="4" fontId="12" fillId="0" borderId="19" xfId="43" applyNumberFormat="1" applyFont="1" applyFill="1" applyBorder="1" applyAlignment="1" applyProtection="1">
      <alignment vertical="center"/>
      <protection/>
    </xf>
    <xf numFmtId="9" fontId="12" fillId="8" borderId="19" xfId="70" applyNumberFormat="1" applyFont="1" applyFill="1" applyBorder="1" applyAlignment="1" applyProtection="1">
      <alignment vertical="center"/>
      <protection/>
    </xf>
    <xf numFmtId="4" fontId="12" fillId="8" borderId="19" xfId="70" applyNumberFormat="1" applyFont="1" applyFill="1" applyBorder="1" applyAlignment="1" applyProtection="1">
      <alignment vertical="center"/>
      <protection/>
    </xf>
    <xf numFmtId="4" fontId="12" fillId="0" borderId="19" xfId="43" applyNumberFormat="1" applyFont="1" applyFill="1" applyBorder="1" applyAlignment="1" applyProtection="1">
      <alignment vertical="center"/>
      <protection locked="0"/>
    </xf>
    <xf numFmtId="2" fontId="12" fillId="8" borderId="19" xfId="0" applyNumberFormat="1" applyFont="1" applyFill="1" applyBorder="1" applyAlignment="1" applyProtection="1">
      <alignment vertical="center"/>
      <protection/>
    </xf>
    <xf numFmtId="0" fontId="12" fillId="7" borderId="20" xfId="0" applyFont="1" applyFill="1" applyBorder="1" applyAlignment="1">
      <alignment vertical="center"/>
    </xf>
    <xf numFmtId="0" fontId="12" fillId="0" borderId="20" xfId="0" applyFont="1" applyFill="1" applyBorder="1" applyAlignment="1">
      <alignment vertical="center"/>
    </xf>
    <xf numFmtId="4" fontId="12" fillId="0" borderId="20" xfId="40" applyNumberFormat="1" applyFont="1" applyFill="1" applyBorder="1" applyAlignment="1">
      <alignment vertical="center"/>
    </xf>
    <xf numFmtId="3" fontId="12" fillId="8" borderId="20" xfId="70" applyNumberFormat="1" applyFont="1" applyFill="1" applyBorder="1" applyAlignment="1" applyProtection="1">
      <alignment vertical="center"/>
      <protection/>
    </xf>
    <xf numFmtId="2" fontId="12" fillId="8" borderId="20" xfId="70" applyNumberFormat="1" applyFont="1" applyFill="1" applyBorder="1" applyAlignment="1" applyProtection="1">
      <alignment vertical="center"/>
      <protection/>
    </xf>
    <xf numFmtId="4" fontId="12" fillId="0" borderId="20" xfId="43" applyNumberFormat="1" applyFont="1" applyFill="1" applyBorder="1" applyAlignment="1" applyProtection="1">
      <alignment vertical="center"/>
      <protection/>
    </xf>
    <xf numFmtId="9" fontId="12" fillId="8" borderId="20" xfId="70" applyNumberFormat="1" applyFont="1" applyFill="1" applyBorder="1" applyAlignment="1" applyProtection="1">
      <alignment vertical="center"/>
      <protection/>
    </xf>
    <xf numFmtId="4" fontId="12" fillId="8" borderId="20" xfId="70" applyNumberFormat="1" applyFont="1" applyFill="1" applyBorder="1" applyAlignment="1" applyProtection="1">
      <alignment vertical="center"/>
      <protection/>
    </xf>
    <xf numFmtId="4" fontId="12" fillId="0" borderId="20" xfId="0" applyNumberFormat="1" applyFont="1" applyFill="1" applyBorder="1" applyAlignment="1">
      <alignment vertical="center"/>
    </xf>
    <xf numFmtId="3" fontId="12" fillId="0" borderId="20" xfId="0" applyNumberFormat="1" applyFont="1" applyFill="1" applyBorder="1" applyAlignment="1">
      <alignment vertical="center"/>
    </xf>
    <xf numFmtId="4" fontId="12" fillId="36" borderId="20" xfId="0" applyNumberFormat="1" applyFont="1" applyFill="1" applyBorder="1" applyAlignment="1">
      <alignment vertical="center"/>
    </xf>
    <xf numFmtId="3" fontId="12" fillId="36" borderId="20" xfId="0" applyNumberFormat="1" applyFont="1" applyFill="1" applyBorder="1" applyAlignment="1">
      <alignment vertical="center"/>
    </xf>
    <xf numFmtId="2" fontId="12" fillId="8" borderId="20" xfId="0" applyNumberFormat="1" applyFont="1" applyFill="1" applyBorder="1" applyAlignment="1" applyProtection="1">
      <alignment vertical="center"/>
      <protection/>
    </xf>
    <xf numFmtId="190" fontId="12" fillId="0" borderId="20" xfId="0" applyNumberFormat="1" applyFont="1" applyFill="1" applyBorder="1" applyAlignment="1" applyProtection="1">
      <alignment vertical="center"/>
      <protection/>
    </xf>
    <xf numFmtId="0" fontId="12" fillId="7" borderId="20" xfId="0" applyNumberFormat="1" applyFont="1" applyFill="1" applyBorder="1" applyAlignment="1" applyProtection="1">
      <alignment vertical="center"/>
      <protection locked="0"/>
    </xf>
    <xf numFmtId="0" fontId="12" fillId="0" borderId="20" xfId="0" applyNumberFormat="1" applyFont="1" applyFill="1" applyBorder="1" applyAlignment="1" applyProtection="1">
      <alignment vertical="center"/>
      <protection locked="0"/>
    </xf>
    <xf numFmtId="4" fontId="12" fillId="0" borderId="20" xfId="42" applyNumberFormat="1" applyFont="1" applyFill="1" applyBorder="1" applyAlignment="1" applyProtection="1">
      <alignment vertical="center"/>
      <protection locked="0"/>
    </xf>
    <xf numFmtId="3" fontId="12" fillId="0" borderId="20" xfId="42" applyNumberFormat="1" applyFont="1" applyFill="1" applyBorder="1" applyAlignment="1" applyProtection="1">
      <alignment vertical="center"/>
      <protection locked="0"/>
    </xf>
    <xf numFmtId="4" fontId="12" fillId="0" borderId="20" xfId="43" applyNumberFormat="1"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4" fontId="12" fillId="0" borderId="20" xfId="43" applyNumberFormat="1" applyFont="1" applyFill="1" applyBorder="1" applyAlignment="1">
      <alignment vertical="center"/>
    </xf>
    <xf numFmtId="3" fontId="12" fillId="0" borderId="20" xfId="43" applyNumberFormat="1" applyFont="1" applyFill="1" applyBorder="1" applyAlignment="1">
      <alignment vertical="center"/>
    </xf>
    <xf numFmtId="185" fontId="12" fillId="0" borderId="20" xfId="43" applyNumberFormat="1" applyFont="1" applyFill="1" applyBorder="1" applyAlignment="1" applyProtection="1">
      <alignment vertical="center"/>
      <protection locked="0"/>
    </xf>
    <xf numFmtId="3" fontId="12" fillId="0" borderId="20" xfId="43" applyNumberFormat="1" applyFont="1" applyFill="1" applyBorder="1" applyAlignment="1" applyProtection="1">
      <alignment vertical="center"/>
      <protection locked="0"/>
    </xf>
    <xf numFmtId="4" fontId="12" fillId="0" borderId="20" xfId="40" applyNumberFormat="1" applyFont="1" applyFill="1" applyBorder="1" applyAlignment="1" applyProtection="1">
      <alignment vertical="center"/>
      <protection/>
    </xf>
    <xf numFmtId="4" fontId="12" fillId="0" borderId="20" xfId="53" applyNumberFormat="1" applyFont="1" applyFill="1" applyBorder="1" applyAlignment="1" applyProtection="1">
      <alignment vertical="center"/>
      <protection/>
    </xf>
    <xf numFmtId="3" fontId="12" fillId="0" borderId="20" xfId="53" applyNumberFormat="1" applyFont="1" applyFill="1" applyBorder="1" applyAlignment="1" applyProtection="1">
      <alignment vertical="center"/>
      <protection/>
    </xf>
    <xf numFmtId="1" fontId="12" fillId="7" borderId="20" xfId="0" applyNumberFormat="1" applyFont="1" applyFill="1" applyBorder="1" applyAlignment="1">
      <alignment vertical="center"/>
    </xf>
    <xf numFmtId="1" fontId="12" fillId="0" borderId="20" xfId="0" applyNumberFormat="1" applyFont="1" applyFill="1" applyBorder="1" applyAlignment="1">
      <alignment vertical="center"/>
    </xf>
    <xf numFmtId="4" fontId="12" fillId="0" borderId="20" xfId="0" applyNumberFormat="1" applyFont="1" applyBorder="1" applyAlignment="1">
      <alignment vertical="center"/>
    </xf>
    <xf numFmtId="3" fontId="12" fillId="0" borderId="20" xfId="0" applyNumberFormat="1" applyFont="1" applyBorder="1" applyAlignment="1">
      <alignment vertical="center"/>
    </xf>
    <xf numFmtId="0" fontId="12" fillId="7" borderId="20" xfId="0" applyFont="1" applyFill="1" applyBorder="1" applyAlignment="1" applyProtection="1">
      <alignment vertical="center"/>
      <protection locked="0"/>
    </xf>
    <xf numFmtId="4" fontId="12" fillId="33" borderId="20" xfId="0" applyNumberFormat="1" applyFont="1" applyFill="1" applyBorder="1" applyAlignment="1">
      <alignment vertical="center"/>
    </xf>
    <xf numFmtId="4" fontId="12" fillId="0" borderId="20" xfId="44" applyNumberFormat="1" applyFont="1" applyFill="1" applyBorder="1" applyAlignment="1" applyProtection="1">
      <alignment vertical="center"/>
      <protection locked="0"/>
    </xf>
    <xf numFmtId="3" fontId="12" fillId="0" borderId="20" xfId="44" applyNumberFormat="1" applyFont="1" applyFill="1" applyBorder="1" applyAlignment="1" applyProtection="1">
      <alignment vertical="center"/>
      <protection locked="0"/>
    </xf>
    <xf numFmtId="0" fontId="12" fillId="7" borderId="20" xfId="0" applyNumberFormat="1" applyFont="1" applyFill="1" applyBorder="1" applyAlignment="1">
      <alignment vertical="center"/>
    </xf>
    <xf numFmtId="3" fontId="12" fillId="8" borderId="21" xfId="70" applyNumberFormat="1" applyFont="1" applyFill="1" applyBorder="1" applyAlignment="1" applyProtection="1">
      <alignment vertical="center"/>
      <protection/>
    </xf>
    <xf numFmtId="2" fontId="12" fillId="8" borderId="21" xfId="70" applyNumberFormat="1" applyFont="1" applyFill="1" applyBorder="1" applyAlignment="1" applyProtection="1">
      <alignment vertical="center"/>
      <protection/>
    </xf>
    <xf numFmtId="4" fontId="12" fillId="0" borderId="21" xfId="43" applyNumberFormat="1" applyFont="1" applyFill="1" applyBorder="1" applyAlignment="1" applyProtection="1">
      <alignment vertical="center"/>
      <protection/>
    </xf>
    <xf numFmtId="9" fontId="12" fillId="8" borderId="21" xfId="70" applyNumberFormat="1" applyFont="1" applyFill="1" applyBorder="1" applyAlignment="1" applyProtection="1">
      <alignment vertical="center"/>
      <protection/>
    </xf>
    <xf numFmtId="4" fontId="12" fillId="8" borderId="21" xfId="70" applyNumberFormat="1" applyFont="1" applyFill="1" applyBorder="1" applyAlignment="1" applyProtection="1">
      <alignment vertical="center"/>
      <protection/>
    </xf>
    <xf numFmtId="2" fontId="12" fillId="8" borderId="21" xfId="0" applyNumberFormat="1" applyFont="1" applyFill="1" applyBorder="1" applyAlignment="1" applyProtection="1">
      <alignment vertical="center"/>
      <protection/>
    </xf>
    <xf numFmtId="4" fontId="46" fillId="0" borderId="20" xfId="0" applyNumberFormat="1" applyFont="1" applyFill="1" applyBorder="1" applyAlignment="1">
      <alignment vertical="center"/>
    </xf>
    <xf numFmtId="3" fontId="46" fillId="0" borderId="20" xfId="0" applyNumberFormat="1" applyFont="1" applyFill="1" applyBorder="1" applyAlignment="1">
      <alignment vertical="center"/>
    </xf>
    <xf numFmtId="4" fontId="46" fillId="0" borderId="20" xfId="40" applyNumberFormat="1" applyFont="1" applyFill="1" applyBorder="1" applyAlignment="1" applyProtection="1">
      <alignment vertical="center"/>
      <protection locked="0"/>
    </xf>
    <xf numFmtId="3" fontId="46" fillId="0" borderId="20" xfId="40" applyNumberFormat="1" applyFont="1" applyFill="1" applyBorder="1" applyAlignment="1" applyProtection="1">
      <alignment vertical="center"/>
      <protection locked="0"/>
    </xf>
    <xf numFmtId="4" fontId="46" fillId="0" borderId="20" xfId="43" applyNumberFormat="1" applyFont="1" applyFill="1" applyBorder="1" applyAlignment="1" applyProtection="1">
      <alignment vertical="center"/>
      <protection locked="0"/>
    </xf>
    <xf numFmtId="3" fontId="46" fillId="0" borderId="20" xfId="43" applyNumberFormat="1" applyFont="1" applyFill="1" applyBorder="1" applyAlignment="1" applyProtection="1">
      <alignment vertical="center"/>
      <protection locked="0"/>
    </xf>
    <xf numFmtId="4" fontId="46" fillId="0" borderId="20" xfId="40" applyNumberFormat="1" applyFont="1" applyFill="1" applyBorder="1" applyAlignment="1" applyProtection="1">
      <alignment vertical="center"/>
      <protection/>
    </xf>
    <xf numFmtId="3" fontId="46" fillId="0" borderId="20" xfId="40" applyNumberFormat="1" applyFont="1" applyFill="1" applyBorder="1" applyAlignment="1" applyProtection="1">
      <alignment vertical="center"/>
      <protection/>
    </xf>
    <xf numFmtId="4" fontId="46" fillId="0" borderId="20" xfId="53" applyNumberFormat="1" applyFont="1" applyFill="1" applyBorder="1" applyAlignment="1" applyProtection="1">
      <alignment vertical="center"/>
      <protection/>
    </xf>
    <xf numFmtId="3" fontId="46" fillId="0" borderId="20" xfId="53" applyNumberFormat="1" applyFont="1" applyFill="1" applyBorder="1" applyAlignment="1" applyProtection="1">
      <alignment vertical="center"/>
      <protection/>
    </xf>
    <xf numFmtId="4" fontId="46" fillId="0" borderId="20" xfId="44" applyNumberFormat="1" applyFont="1" applyFill="1" applyBorder="1" applyAlignment="1" applyProtection="1">
      <alignment vertical="center"/>
      <protection locked="0"/>
    </xf>
    <xf numFmtId="3" fontId="46" fillId="0" borderId="20" xfId="44" applyNumberFormat="1" applyFont="1" applyFill="1" applyBorder="1" applyAlignment="1" applyProtection="1">
      <alignment vertical="center"/>
      <protection locked="0"/>
    </xf>
    <xf numFmtId="0" fontId="175" fillId="7" borderId="20" xfId="0" applyFont="1" applyFill="1" applyBorder="1" applyAlignment="1">
      <alignment vertical="center"/>
    </xf>
    <xf numFmtId="190" fontId="12" fillId="7" borderId="20" xfId="0" applyNumberFormat="1" applyFont="1" applyFill="1" applyBorder="1" applyAlignment="1">
      <alignment horizontal="center" vertical="center"/>
    </xf>
    <xf numFmtId="0" fontId="44" fillId="36" borderId="0" xfId="0" applyFont="1" applyFill="1" applyBorder="1" applyAlignment="1">
      <alignment/>
    </xf>
    <xf numFmtId="2" fontId="167" fillId="38" borderId="0" xfId="0" applyNumberFormat="1" applyFont="1" applyFill="1" applyBorder="1" applyAlignment="1">
      <alignment/>
    </xf>
    <xf numFmtId="2" fontId="0" fillId="0" borderId="0" xfId="0" applyNumberFormat="1" applyBorder="1" applyAlignment="1">
      <alignment/>
    </xf>
    <xf numFmtId="0" fontId="0" fillId="0" borderId="0" xfId="0" applyFont="1" applyFill="1" applyBorder="1" applyAlignment="1">
      <alignment horizontal="center"/>
    </xf>
    <xf numFmtId="0" fontId="176" fillId="0" borderId="0" xfId="0" applyFont="1" applyAlignment="1">
      <alignment horizontal="center"/>
    </xf>
    <xf numFmtId="4" fontId="48" fillId="36" borderId="20" xfId="0" applyNumberFormat="1" applyFont="1" applyFill="1" applyBorder="1" applyAlignment="1">
      <alignment vertical="center"/>
    </xf>
    <xf numFmtId="4" fontId="48" fillId="33" borderId="20" xfId="0" applyNumberFormat="1" applyFont="1" applyFill="1" applyBorder="1" applyAlignment="1">
      <alignment vertical="center"/>
    </xf>
    <xf numFmtId="4" fontId="48" fillId="0" borderId="20" xfId="43" applyNumberFormat="1" applyFont="1" applyFill="1" applyBorder="1" applyAlignment="1" applyProtection="1">
      <alignment vertical="center"/>
      <protection locked="0"/>
    </xf>
    <xf numFmtId="4" fontId="48" fillId="0" borderId="20" xfId="0" applyNumberFormat="1" applyFont="1" applyBorder="1" applyAlignment="1">
      <alignment vertical="center"/>
    </xf>
    <xf numFmtId="4" fontId="48" fillId="0" borderId="20" xfId="53" applyNumberFormat="1" applyFont="1" applyFill="1" applyBorder="1" applyAlignment="1" applyProtection="1">
      <alignment vertical="center"/>
      <protection/>
    </xf>
    <xf numFmtId="0" fontId="172" fillId="0" borderId="20" xfId="0" applyFont="1" applyFill="1" applyBorder="1" applyAlignment="1" applyProtection="1">
      <alignment horizontal="center" vertical="center"/>
      <protection/>
    </xf>
    <xf numFmtId="4" fontId="48" fillId="0" borderId="20" xfId="0" applyNumberFormat="1" applyFont="1" applyFill="1" applyBorder="1" applyAlignment="1">
      <alignment vertical="center"/>
    </xf>
    <xf numFmtId="190" fontId="12" fillId="0" borderId="21" xfId="0" applyNumberFormat="1" applyFont="1" applyFill="1" applyBorder="1" applyAlignment="1" applyProtection="1">
      <alignment horizontal="center" vertical="center"/>
      <protection/>
    </xf>
    <xf numFmtId="4" fontId="48" fillId="0" borderId="20" xfId="40" applyNumberFormat="1" applyFont="1" applyFill="1" applyBorder="1" applyAlignment="1" applyProtection="1">
      <alignment vertical="center"/>
      <protection/>
    </xf>
    <xf numFmtId="0" fontId="177" fillId="7" borderId="20" xfId="0" applyNumberFormat="1" applyFont="1" applyFill="1" applyBorder="1" applyAlignment="1" applyProtection="1">
      <alignment vertical="center"/>
      <protection locked="0"/>
    </xf>
    <xf numFmtId="0" fontId="177" fillId="7" borderId="20" xfId="0" applyFont="1" applyFill="1" applyBorder="1" applyAlignment="1">
      <alignment vertical="center"/>
    </xf>
    <xf numFmtId="0" fontId="177" fillId="7" borderId="20" xfId="0" applyNumberFormat="1" applyFont="1" applyFill="1" applyBorder="1" applyAlignment="1">
      <alignment vertical="center"/>
    </xf>
    <xf numFmtId="0" fontId="176" fillId="0" borderId="20" xfId="0" applyFont="1" applyBorder="1" applyAlignment="1">
      <alignment horizontal="center"/>
    </xf>
    <xf numFmtId="0" fontId="178" fillId="0" borderId="0" xfId="0" applyFont="1" applyAlignment="1">
      <alignment horizontal="center"/>
    </xf>
    <xf numFmtId="0" fontId="34" fillId="0" borderId="20" xfId="0" applyFont="1" applyBorder="1" applyAlignment="1">
      <alignment horizontal="center"/>
    </xf>
    <xf numFmtId="0" fontId="176" fillId="0" borderId="21" xfId="0" applyFont="1" applyBorder="1" applyAlignment="1">
      <alignment horizontal="center"/>
    </xf>
    <xf numFmtId="0" fontId="176" fillId="0" borderId="44" xfId="0" applyFont="1" applyBorder="1" applyAlignment="1">
      <alignment horizontal="center"/>
    </xf>
    <xf numFmtId="0" fontId="34" fillId="0" borderId="21" xfId="0" applyFont="1" applyBorder="1" applyAlignment="1">
      <alignment horizontal="center"/>
    </xf>
    <xf numFmtId="0" fontId="34" fillId="0" borderId="43" xfId="0" applyNumberFormat="1" applyFont="1" applyFill="1" applyBorder="1" applyAlignment="1" applyProtection="1">
      <alignment horizontal="center" vertical="center"/>
      <protection/>
    </xf>
    <xf numFmtId="0" fontId="172" fillId="0" borderId="43" xfId="0" applyNumberFormat="1" applyFont="1" applyFill="1" applyBorder="1" applyAlignment="1" applyProtection="1">
      <alignment horizontal="center" vertical="center"/>
      <protection/>
    </xf>
    <xf numFmtId="204" fontId="46" fillId="7" borderId="43" xfId="0" applyNumberFormat="1" applyFont="1" applyFill="1" applyBorder="1" applyAlignment="1">
      <alignment vertical="center"/>
    </xf>
    <xf numFmtId="0" fontId="12" fillId="7" borderId="43" xfId="0" applyFont="1" applyFill="1" applyBorder="1" applyAlignment="1" applyProtection="1">
      <alignment vertical="center"/>
      <protection/>
    </xf>
    <xf numFmtId="204" fontId="12" fillId="7" borderId="43" xfId="0" applyNumberFormat="1" applyFont="1" applyFill="1" applyBorder="1" applyAlignment="1">
      <alignment vertical="center"/>
    </xf>
    <xf numFmtId="0" fontId="12" fillId="7" borderId="43" xfId="0" applyFont="1" applyFill="1" applyBorder="1" applyAlignment="1">
      <alignment vertical="center"/>
    </xf>
    <xf numFmtId="0" fontId="12" fillId="0" borderId="43" xfId="0" applyFont="1" applyFill="1" applyBorder="1" applyAlignment="1">
      <alignment vertical="center"/>
    </xf>
    <xf numFmtId="4" fontId="46" fillId="0" borderId="43" xfId="43" applyNumberFormat="1" applyFont="1" applyFill="1" applyBorder="1" applyAlignment="1" applyProtection="1">
      <alignment vertical="center"/>
      <protection locked="0"/>
    </xf>
    <xf numFmtId="3" fontId="46" fillId="0" borderId="43" xfId="43" applyNumberFormat="1" applyFont="1" applyFill="1" applyBorder="1" applyAlignment="1" applyProtection="1">
      <alignment vertical="center"/>
      <protection locked="0"/>
    </xf>
    <xf numFmtId="4" fontId="12" fillId="0" borderId="43" xfId="43" applyNumberFormat="1" applyFont="1" applyFill="1" applyBorder="1" applyAlignment="1" applyProtection="1">
      <alignment vertical="center"/>
      <protection locked="0"/>
    </xf>
    <xf numFmtId="3" fontId="12" fillId="0" borderId="43" xfId="43" applyNumberFormat="1" applyFont="1" applyFill="1" applyBorder="1" applyAlignment="1" applyProtection="1">
      <alignment vertical="center"/>
      <protection locked="0"/>
    </xf>
    <xf numFmtId="190" fontId="12" fillId="36" borderId="43" xfId="0" applyNumberFormat="1" applyFont="1" applyFill="1" applyBorder="1" applyAlignment="1" applyProtection="1">
      <alignment horizontal="center" vertical="center"/>
      <protection/>
    </xf>
    <xf numFmtId="0" fontId="12" fillId="0" borderId="20" xfId="0" applyFont="1" applyFill="1" applyBorder="1" applyAlignment="1">
      <alignment horizontal="right" vertical="center" shrinkToFit="1"/>
    </xf>
    <xf numFmtId="4" fontId="46" fillId="36" borderId="20" xfId="43" applyNumberFormat="1" applyFont="1" applyFill="1" applyBorder="1" applyAlignment="1" applyProtection="1">
      <alignment horizontal="right" vertical="center"/>
      <protection locked="0"/>
    </xf>
    <xf numFmtId="3" fontId="46" fillId="36" borderId="20" xfId="43" applyNumberFormat="1" applyFont="1" applyFill="1" applyBorder="1" applyAlignment="1" applyProtection="1">
      <alignment horizontal="right" vertical="center"/>
      <protection locked="0"/>
    </xf>
    <xf numFmtId="4" fontId="12" fillId="36" borderId="20" xfId="43" applyNumberFormat="1" applyFont="1" applyFill="1" applyBorder="1" applyAlignment="1" applyProtection="1">
      <alignment horizontal="right" vertical="center"/>
      <protection locked="0"/>
    </xf>
    <xf numFmtId="3" fontId="12" fillId="36" borderId="20" xfId="43" applyNumberFormat="1" applyFont="1" applyFill="1" applyBorder="1" applyAlignment="1" applyProtection="1">
      <alignment horizontal="right" vertical="center"/>
      <protection locked="0"/>
    </xf>
    <xf numFmtId="190" fontId="12" fillId="36" borderId="20" xfId="0" applyNumberFormat="1" applyFont="1" applyFill="1" applyBorder="1" applyAlignment="1" applyProtection="1">
      <alignment horizontal="center" vertical="center"/>
      <protection/>
    </xf>
    <xf numFmtId="4" fontId="46" fillId="36" borderId="20" xfId="0" applyNumberFormat="1" applyFont="1" applyFill="1" applyBorder="1" applyAlignment="1">
      <alignment horizontal="right"/>
    </xf>
    <xf numFmtId="3" fontId="46" fillId="36" borderId="20" xfId="0" applyNumberFormat="1" applyFont="1" applyFill="1" applyBorder="1" applyAlignment="1">
      <alignment horizontal="right"/>
    </xf>
    <xf numFmtId="4" fontId="12" fillId="36" borderId="20" xfId="0" applyNumberFormat="1" applyFont="1" applyFill="1" applyBorder="1" applyAlignment="1">
      <alignment horizontal="right"/>
    </xf>
    <xf numFmtId="3" fontId="12" fillId="36" borderId="20" xfId="0" applyNumberFormat="1" applyFont="1" applyFill="1" applyBorder="1" applyAlignment="1">
      <alignment horizontal="right"/>
    </xf>
    <xf numFmtId="0" fontId="177" fillId="7" borderId="20" xfId="0" applyFont="1" applyFill="1" applyBorder="1" applyAlignment="1" applyProtection="1">
      <alignment vertical="center"/>
      <protection locked="0"/>
    </xf>
    <xf numFmtId="4" fontId="46" fillId="0" borderId="20" xfId="0" applyNumberFormat="1" applyFont="1" applyBorder="1" applyAlignment="1">
      <alignment vertical="center"/>
    </xf>
    <xf numFmtId="3" fontId="46" fillId="0" borderId="20" xfId="0" applyNumberFormat="1" applyFont="1" applyBorder="1" applyAlignment="1">
      <alignment vertical="center"/>
    </xf>
    <xf numFmtId="1" fontId="12" fillId="0" borderId="20" xfId="0" applyNumberFormat="1" applyFont="1" applyFill="1" applyBorder="1" applyAlignment="1">
      <alignment horizontal="right"/>
    </xf>
    <xf numFmtId="4" fontId="46" fillId="36" borderId="20" xfId="0" applyNumberFormat="1" applyFont="1" applyFill="1" applyBorder="1" applyAlignment="1">
      <alignment horizontal="right" wrapText="1"/>
    </xf>
    <xf numFmtId="4" fontId="12" fillId="36" borderId="20" xfId="0" applyNumberFormat="1" applyFont="1" applyFill="1" applyBorder="1" applyAlignment="1">
      <alignment horizontal="right" wrapText="1"/>
    </xf>
    <xf numFmtId="0" fontId="12" fillId="50" borderId="20" xfId="0" applyFont="1" applyFill="1" applyBorder="1" applyAlignment="1">
      <alignment vertical="center"/>
    </xf>
    <xf numFmtId="204" fontId="177" fillId="7" borderId="20" xfId="0" applyNumberFormat="1" applyFont="1" applyFill="1" applyBorder="1" applyAlignment="1">
      <alignment vertical="center"/>
    </xf>
    <xf numFmtId="0" fontId="179" fillId="7" borderId="20" xfId="0" applyFont="1" applyFill="1" applyBorder="1" applyAlignment="1">
      <alignment vertical="center"/>
    </xf>
    <xf numFmtId="0" fontId="177" fillId="7" borderId="20" xfId="0" applyNumberFormat="1" applyFont="1" applyFill="1" applyBorder="1" applyAlignment="1" applyProtection="1">
      <alignment vertical="center"/>
      <protection/>
    </xf>
    <xf numFmtId="4" fontId="46" fillId="36" borderId="20" xfId="44" applyNumberFormat="1" applyFont="1" applyFill="1" applyBorder="1" applyAlignment="1" applyProtection="1">
      <alignment horizontal="right" vertical="center"/>
      <protection locked="0"/>
    </xf>
    <xf numFmtId="3" fontId="46" fillId="36" borderId="20" xfId="44" applyNumberFormat="1" applyFont="1" applyFill="1" applyBorder="1" applyAlignment="1" applyProtection="1">
      <alignment horizontal="right" vertical="center"/>
      <protection locked="0"/>
    </xf>
    <xf numFmtId="4" fontId="12" fillId="36" borderId="20" xfId="44" applyNumberFormat="1" applyFont="1" applyFill="1" applyBorder="1" applyAlignment="1" applyProtection="1">
      <alignment horizontal="right" vertical="center"/>
      <protection locked="0"/>
    </xf>
    <xf numFmtId="3" fontId="12" fillId="36" borderId="20" xfId="44" applyNumberFormat="1" applyFont="1" applyFill="1" applyBorder="1" applyAlignment="1" applyProtection="1">
      <alignment horizontal="right" vertical="center"/>
      <protection locked="0"/>
    </xf>
    <xf numFmtId="0" fontId="177" fillId="7" borderId="20" xfId="0" applyFont="1" applyFill="1" applyBorder="1" applyAlignment="1">
      <alignment vertical="center"/>
    </xf>
    <xf numFmtId="0" fontId="10" fillId="0" borderId="20" xfId="0" applyFont="1" applyFill="1" applyBorder="1" applyAlignment="1" applyProtection="1">
      <alignment horizontal="center" vertical="center"/>
      <protection/>
    </xf>
    <xf numFmtId="204" fontId="172" fillId="0" borderId="20" xfId="0" applyNumberFormat="1" applyFont="1" applyFill="1" applyBorder="1" applyAlignment="1" applyProtection="1">
      <alignment horizontal="center" vertical="center"/>
      <protection/>
    </xf>
    <xf numFmtId="4" fontId="46" fillId="36" borderId="20" xfId="0" applyNumberFormat="1" applyFont="1" applyFill="1" applyBorder="1" applyAlignment="1">
      <alignment vertical="center"/>
    </xf>
    <xf numFmtId="3" fontId="46" fillId="36" borderId="20" xfId="0" applyNumberFormat="1" applyFont="1" applyFill="1" applyBorder="1" applyAlignment="1">
      <alignment vertical="center"/>
    </xf>
    <xf numFmtId="4" fontId="46" fillId="36" borderId="20" xfId="43" applyNumberFormat="1" applyFont="1" applyFill="1" applyBorder="1" applyAlignment="1" applyProtection="1">
      <alignment horizontal="right" vertical="center"/>
      <protection/>
    </xf>
    <xf numFmtId="3" fontId="46" fillId="36" borderId="20" xfId="43" applyNumberFormat="1" applyFont="1" applyFill="1" applyBorder="1" applyAlignment="1" applyProtection="1">
      <alignment horizontal="right" vertical="center"/>
      <protection/>
    </xf>
    <xf numFmtId="4" fontId="12" fillId="36" borderId="20" xfId="43" applyNumberFormat="1" applyFont="1" applyFill="1" applyBorder="1" applyAlignment="1" applyProtection="1">
      <alignment horizontal="right" vertical="center"/>
      <protection/>
    </xf>
    <xf numFmtId="3" fontId="12" fillId="36" borderId="20" xfId="0" applyNumberFormat="1" applyFont="1" applyFill="1" applyBorder="1" applyAlignment="1">
      <alignment horizontal="right" vertical="center"/>
    </xf>
    <xf numFmtId="4" fontId="46" fillId="0" borderId="20" xfId="43" applyNumberFormat="1" applyFont="1" applyFill="1" applyBorder="1" applyAlignment="1" applyProtection="1">
      <alignment vertical="center"/>
      <protection/>
    </xf>
    <xf numFmtId="3" fontId="46" fillId="0" borderId="20" xfId="43" applyNumberFormat="1" applyFont="1" applyFill="1" applyBorder="1" applyAlignment="1" applyProtection="1">
      <alignment vertical="center"/>
      <protection/>
    </xf>
    <xf numFmtId="204" fontId="172" fillId="33" borderId="20" xfId="0" applyNumberFormat="1" applyFont="1" applyFill="1" applyBorder="1" applyAlignment="1" applyProtection="1">
      <alignment horizontal="center" vertical="center"/>
      <protection/>
    </xf>
    <xf numFmtId="0" fontId="12" fillId="7" borderId="20" xfId="0" applyFont="1" applyFill="1" applyBorder="1" applyAlignment="1">
      <alignment horizontal="right" vertical="center" shrinkToFit="1"/>
    </xf>
    <xf numFmtId="0" fontId="173" fillId="33" borderId="20" xfId="0" applyFont="1" applyFill="1" applyBorder="1" applyAlignment="1" applyProtection="1">
      <alignment horizontal="center" vertical="center"/>
      <protection/>
    </xf>
    <xf numFmtId="0" fontId="12" fillId="0" borderId="20" xfId="0" applyFont="1" applyFill="1" applyBorder="1" applyAlignment="1">
      <alignment horizontal="right"/>
    </xf>
    <xf numFmtId="0" fontId="9" fillId="33" borderId="20" xfId="0" applyFont="1" applyFill="1" applyBorder="1" applyAlignment="1" applyProtection="1">
      <alignment horizontal="left" vertical="center"/>
      <protection/>
    </xf>
    <xf numFmtId="0" fontId="9" fillId="36" borderId="20" xfId="0" applyFont="1" applyFill="1" applyBorder="1" applyAlignment="1" applyProtection="1">
      <alignment horizontal="left" vertical="center"/>
      <protection/>
    </xf>
    <xf numFmtId="0" fontId="172" fillId="41" borderId="43" xfId="0" applyNumberFormat="1" applyFont="1" applyFill="1" applyBorder="1" applyAlignment="1" applyProtection="1">
      <alignment horizontal="center" vertical="center"/>
      <protection/>
    </xf>
    <xf numFmtId="0" fontId="177" fillId="7" borderId="43" xfId="0" applyNumberFormat="1" applyFont="1" applyFill="1" applyBorder="1" applyAlignment="1" applyProtection="1">
      <alignment vertical="center"/>
      <protection locked="0"/>
    </xf>
    <xf numFmtId="190" fontId="12" fillId="7" borderId="43" xfId="0" applyNumberFormat="1" applyFont="1" applyFill="1" applyBorder="1" applyAlignment="1" applyProtection="1">
      <alignment horizontal="center" vertical="center"/>
      <protection/>
    </xf>
    <xf numFmtId="0" fontId="12" fillId="7" borderId="43" xfId="0" applyNumberFormat="1" applyFont="1" applyFill="1" applyBorder="1" applyAlignment="1" applyProtection="1">
      <alignment vertical="center"/>
      <protection locked="0"/>
    </xf>
    <xf numFmtId="0" fontId="12" fillId="0" borderId="43" xfId="0" applyNumberFormat="1" applyFont="1" applyFill="1" applyBorder="1" applyAlignment="1" applyProtection="1">
      <alignment vertical="center"/>
      <protection locked="0"/>
    </xf>
    <xf numFmtId="204" fontId="172" fillId="0" borderId="43" xfId="0" applyNumberFormat="1" applyFont="1" applyFill="1" applyBorder="1" applyAlignment="1" applyProtection="1">
      <alignment horizontal="center" vertical="center"/>
      <protection/>
    </xf>
    <xf numFmtId="0" fontId="34" fillId="0" borderId="0" xfId="0" applyFont="1" applyAlignment="1">
      <alignment horizontal="center" wrapText="1"/>
    </xf>
    <xf numFmtId="0" fontId="34" fillId="0" borderId="0" xfId="0" applyFont="1" applyAlignment="1">
      <alignment horizontal="center"/>
    </xf>
    <xf numFmtId="0" fontId="34" fillId="0" borderId="11" xfId="0" applyFont="1" applyBorder="1" applyAlignment="1">
      <alignment horizontal="center"/>
    </xf>
    <xf numFmtId="4" fontId="12" fillId="0" borderId="19" xfId="0" applyNumberFormat="1" applyFont="1" applyFill="1" applyBorder="1" applyAlignment="1">
      <alignment vertical="center"/>
    </xf>
    <xf numFmtId="3" fontId="12" fillId="0" borderId="19" xfId="0" applyNumberFormat="1" applyFont="1" applyFill="1" applyBorder="1" applyAlignment="1">
      <alignment vertical="center"/>
    </xf>
    <xf numFmtId="2" fontId="12" fillId="8" borderId="43" xfId="0" applyNumberFormat="1" applyFont="1" applyFill="1" applyBorder="1" applyAlignment="1" applyProtection="1">
      <alignment vertical="center"/>
      <protection/>
    </xf>
    <xf numFmtId="0" fontId="180" fillId="33" borderId="20" xfId="0" applyNumberFormat="1" applyFont="1" applyFill="1" applyBorder="1" applyAlignment="1" applyProtection="1">
      <alignment horizontal="center" vertical="center"/>
      <protection/>
    </xf>
    <xf numFmtId="0" fontId="73" fillId="36" borderId="20" xfId="0" applyNumberFormat="1" applyFont="1" applyFill="1" applyBorder="1" applyAlignment="1" applyProtection="1">
      <alignment horizontal="center" vertical="center"/>
      <protection/>
    </xf>
    <xf numFmtId="0" fontId="180" fillId="36" borderId="20" xfId="0" applyNumberFormat="1" applyFont="1" applyFill="1" applyBorder="1" applyAlignment="1" applyProtection="1">
      <alignment horizontal="center" vertical="center"/>
      <protection/>
    </xf>
    <xf numFmtId="0" fontId="180" fillId="0" borderId="20" xfId="0" applyNumberFormat="1" applyFont="1" applyFill="1" applyBorder="1" applyAlignment="1" applyProtection="1">
      <alignment horizontal="center" vertical="center"/>
      <protection/>
    </xf>
    <xf numFmtId="0" fontId="180" fillId="47" borderId="20" xfId="0" applyNumberFormat="1" applyFont="1" applyFill="1" applyBorder="1" applyAlignment="1" applyProtection="1">
      <alignment horizontal="center" vertical="center"/>
      <protection/>
    </xf>
    <xf numFmtId="0" fontId="180" fillId="41" borderId="20" xfId="0" applyNumberFormat="1" applyFont="1" applyFill="1" applyBorder="1" applyAlignment="1" applyProtection="1">
      <alignment horizontal="center" vertical="center"/>
      <protection/>
    </xf>
    <xf numFmtId="0" fontId="180" fillId="44" borderId="20" xfId="0" applyNumberFormat="1" applyFont="1" applyFill="1" applyBorder="1" applyAlignment="1" applyProtection="1">
      <alignment horizontal="center" vertical="center"/>
      <protection/>
    </xf>
    <xf numFmtId="0" fontId="73" fillId="0" borderId="20" xfId="0" applyNumberFormat="1" applyFont="1" applyFill="1" applyBorder="1" applyAlignment="1" applyProtection="1">
      <alignment horizontal="center" vertical="center"/>
      <protection/>
    </xf>
    <xf numFmtId="0" fontId="73" fillId="45" borderId="20" xfId="0" applyNumberFormat="1" applyFont="1" applyFill="1" applyBorder="1" applyAlignment="1" applyProtection="1">
      <alignment horizontal="center" vertical="center"/>
      <protection/>
    </xf>
    <xf numFmtId="0" fontId="181" fillId="36" borderId="20" xfId="0" applyFont="1" applyFill="1" applyBorder="1" applyAlignment="1" applyProtection="1">
      <alignment horizontal="center" vertical="center"/>
      <protection/>
    </xf>
    <xf numFmtId="0" fontId="181" fillId="33" borderId="20" xfId="0" applyFont="1" applyFill="1" applyBorder="1" applyAlignment="1" applyProtection="1">
      <alignment horizontal="center" vertical="center"/>
      <protection/>
    </xf>
    <xf numFmtId="0" fontId="12" fillId="36" borderId="20" xfId="0" applyFont="1" applyFill="1" applyBorder="1" applyAlignment="1" applyProtection="1">
      <alignment horizontal="center" vertical="center"/>
      <protection/>
    </xf>
    <xf numFmtId="0" fontId="73" fillId="43" borderId="20" xfId="0" applyNumberFormat="1" applyFont="1" applyFill="1" applyBorder="1" applyAlignment="1" applyProtection="1">
      <alignment horizontal="center" vertical="center"/>
      <protection/>
    </xf>
    <xf numFmtId="0" fontId="73" fillId="37" borderId="20" xfId="0" applyNumberFormat="1" applyFont="1" applyFill="1" applyBorder="1" applyAlignment="1" applyProtection="1">
      <alignment horizontal="center" vertical="center"/>
      <protection/>
    </xf>
    <xf numFmtId="0" fontId="12" fillId="0" borderId="20" xfId="0" applyFont="1" applyFill="1" applyBorder="1" applyAlignment="1" applyProtection="1">
      <alignment horizontal="center" vertical="center"/>
      <protection/>
    </xf>
    <xf numFmtId="0" fontId="181" fillId="0" borderId="20" xfId="0" applyFont="1" applyFill="1" applyBorder="1" applyAlignment="1" applyProtection="1">
      <alignment horizontal="center" vertical="center"/>
      <protection/>
    </xf>
    <xf numFmtId="0" fontId="73" fillId="42" borderId="20" xfId="0" applyNumberFormat="1" applyFont="1" applyFill="1" applyBorder="1" applyAlignment="1" applyProtection="1">
      <alignment horizontal="center" vertical="center"/>
      <protection/>
    </xf>
    <xf numFmtId="4" fontId="46" fillId="8" borderId="20" xfId="0" applyNumberFormat="1" applyFont="1" applyFill="1" applyBorder="1" applyAlignment="1">
      <alignment vertical="center"/>
    </xf>
    <xf numFmtId="3" fontId="46" fillId="8" borderId="20" xfId="0" applyNumberFormat="1" applyFont="1" applyFill="1" applyBorder="1" applyAlignment="1">
      <alignment vertical="center"/>
    </xf>
    <xf numFmtId="0" fontId="73" fillId="36" borderId="43" xfId="0" applyNumberFormat="1" applyFont="1" applyFill="1" applyBorder="1" applyAlignment="1" applyProtection="1">
      <alignment horizontal="center" vertical="center"/>
      <protection/>
    </xf>
    <xf numFmtId="0" fontId="180" fillId="36" borderId="43" xfId="0" applyNumberFormat="1" applyFont="1" applyFill="1" applyBorder="1" applyAlignment="1" applyProtection="1">
      <alignment horizontal="center" vertical="center"/>
      <protection/>
    </xf>
    <xf numFmtId="4" fontId="46" fillId="8" borderId="19" xfId="0" applyNumberFormat="1" applyFont="1" applyFill="1" applyBorder="1" applyAlignment="1">
      <alignment vertical="center"/>
    </xf>
    <xf numFmtId="3" fontId="46" fillId="8" borderId="19" xfId="0" applyNumberFormat="1" applyFont="1" applyFill="1" applyBorder="1" applyAlignment="1">
      <alignment vertical="center"/>
    </xf>
    <xf numFmtId="0" fontId="165" fillId="0" borderId="29" xfId="0" applyFont="1" applyFill="1" applyBorder="1" applyAlignment="1" applyProtection="1">
      <alignment horizontal="center" vertical="center"/>
      <protection/>
    </xf>
    <xf numFmtId="0" fontId="182" fillId="0" borderId="30" xfId="0" applyFont="1" applyFill="1" applyBorder="1" applyAlignment="1" applyProtection="1">
      <alignment horizontal="center" vertical="center"/>
      <protection/>
    </xf>
    <xf numFmtId="0" fontId="165" fillId="0" borderId="30" xfId="0" applyFont="1" applyFill="1" applyBorder="1" applyAlignment="1" applyProtection="1">
      <alignment horizontal="center" vertical="center"/>
      <protection/>
    </xf>
    <xf numFmtId="4" fontId="12" fillId="0" borderId="21" xfId="0" applyNumberFormat="1" applyFont="1" applyFill="1" applyBorder="1" applyAlignment="1">
      <alignment vertical="center"/>
    </xf>
    <xf numFmtId="0" fontId="165" fillId="0" borderId="31" xfId="0" applyFont="1" applyFill="1" applyBorder="1" applyAlignment="1" applyProtection="1">
      <alignment horizontal="center" vertical="center"/>
      <protection/>
    </xf>
    <xf numFmtId="3" fontId="12" fillId="36" borderId="19" xfId="40" applyNumberFormat="1" applyFont="1" applyFill="1" applyBorder="1" applyAlignment="1">
      <alignment vertical="center"/>
    </xf>
    <xf numFmtId="4" fontId="12" fillId="36" borderId="19" xfId="40" applyNumberFormat="1" applyFont="1" applyFill="1" applyBorder="1" applyAlignment="1">
      <alignment vertical="center"/>
    </xf>
    <xf numFmtId="4" fontId="12" fillId="36" borderId="20" xfId="42" applyNumberFormat="1" applyFont="1" applyFill="1" applyBorder="1" applyAlignment="1" applyProtection="1">
      <alignment vertical="center"/>
      <protection locked="0"/>
    </xf>
    <xf numFmtId="3" fontId="12" fillId="36" borderId="20" xfId="42" applyNumberFormat="1" applyFont="1" applyFill="1" applyBorder="1" applyAlignment="1" applyProtection="1">
      <alignment vertical="center"/>
      <protection locked="0"/>
    </xf>
    <xf numFmtId="4" fontId="12" fillId="36" borderId="20" xfId="40" applyNumberFormat="1" applyFont="1" applyFill="1" applyBorder="1" applyAlignment="1" applyProtection="1">
      <alignment vertical="center"/>
      <protection locked="0"/>
    </xf>
    <xf numFmtId="3" fontId="12" fillId="36" borderId="20" xfId="40" applyNumberFormat="1" applyFont="1" applyFill="1" applyBorder="1" applyAlignment="1" applyProtection="1">
      <alignment vertical="center"/>
      <protection locked="0"/>
    </xf>
    <xf numFmtId="3" fontId="12" fillId="36" borderId="20" xfId="40" applyNumberFormat="1" applyFont="1" applyFill="1" applyBorder="1" applyAlignment="1">
      <alignment vertical="center"/>
    </xf>
    <xf numFmtId="4" fontId="12" fillId="36" borderId="20" xfId="40" applyNumberFormat="1" applyFont="1" applyFill="1" applyBorder="1" applyAlignment="1">
      <alignment vertical="center"/>
    </xf>
    <xf numFmtId="4" fontId="12" fillId="0" borderId="20" xfId="42" applyNumberFormat="1" applyFont="1" applyFill="1" applyBorder="1" applyAlignment="1" applyProtection="1">
      <alignment vertical="center"/>
      <protection/>
    </xf>
    <xf numFmtId="4" fontId="12" fillId="36" borderId="20" xfId="43" applyNumberFormat="1" applyFont="1" applyFill="1" applyBorder="1" applyAlignment="1">
      <alignment vertical="center"/>
    </xf>
    <xf numFmtId="3" fontId="12" fillId="36" borderId="20" xfId="43" applyNumberFormat="1" applyFont="1" applyFill="1" applyBorder="1" applyAlignment="1">
      <alignment vertical="center"/>
    </xf>
    <xf numFmtId="4" fontId="12" fillId="36" borderId="20" xfId="53" applyNumberFormat="1" applyFont="1" applyFill="1" applyBorder="1" applyAlignment="1" applyProtection="1">
      <alignment vertical="center"/>
      <protection/>
    </xf>
    <xf numFmtId="3" fontId="12" fillId="36" borderId="20" xfId="53" applyNumberFormat="1" applyFont="1" applyFill="1" applyBorder="1" applyAlignment="1" applyProtection="1">
      <alignment vertical="center"/>
      <protection/>
    </xf>
    <xf numFmtId="1" fontId="12" fillId="33" borderId="20" xfId="0" applyNumberFormat="1" applyFont="1" applyFill="1" applyBorder="1" applyAlignment="1">
      <alignment vertical="center"/>
    </xf>
    <xf numFmtId="4" fontId="12" fillId="36" borderId="21" xfId="42" applyNumberFormat="1" applyFont="1" applyFill="1" applyBorder="1" applyAlignment="1" applyProtection="1">
      <alignment vertical="center"/>
      <protection locked="0"/>
    </xf>
    <xf numFmtId="3" fontId="12" fillId="36" borderId="21" xfId="42" applyNumberFormat="1" applyFont="1" applyFill="1" applyBorder="1" applyAlignment="1" applyProtection="1">
      <alignment vertical="center"/>
      <protection locked="0"/>
    </xf>
    <xf numFmtId="4" fontId="46" fillId="8" borderId="21" xfId="0" applyNumberFormat="1" applyFont="1" applyFill="1" applyBorder="1" applyAlignment="1">
      <alignment vertical="center"/>
    </xf>
    <xf numFmtId="3" fontId="46" fillId="8" borderId="21" xfId="0" applyNumberFormat="1" applyFont="1" applyFill="1" applyBorder="1" applyAlignment="1">
      <alignment vertical="center"/>
    </xf>
    <xf numFmtId="0" fontId="46" fillId="15" borderId="20" xfId="0" applyNumberFormat="1" applyFont="1" applyFill="1" applyBorder="1" applyAlignment="1" applyProtection="1">
      <alignment vertical="center"/>
      <protection locked="0"/>
    </xf>
    <xf numFmtId="0" fontId="12" fillId="15" borderId="20" xfId="0" applyFont="1" applyFill="1" applyBorder="1" applyAlignment="1">
      <alignment vertical="center"/>
    </xf>
    <xf numFmtId="0" fontId="12" fillId="15" borderId="20" xfId="0" applyNumberFormat="1" applyFont="1" applyFill="1" applyBorder="1" applyAlignment="1" applyProtection="1">
      <alignment vertical="center"/>
      <protection locked="0"/>
    </xf>
    <xf numFmtId="0" fontId="46" fillId="15" borderId="20" xfId="0" applyNumberFormat="1" applyFont="1" applyFill="1" applyBorder="1" applyAlignment="1">
      <alignment vertical="center"/>
    </xf>
    <xf numFmtId="0" fontId="12" fillId="15" borderId="20" xfId="0" applyNumberFormat="1" applyFont="1" applyFill="1" applyBorder="1" applyAlignment="1">
      <alignment vertical="center"/>
    </xf>
    <xf numFmtId="0" fontId="175" fillId="15" borderId="20" xfId="0" applyFont="1" applyFill="1" applyBorder="1" applyAlignment="1">
      <alignment vertical="center"/>
    </xf>
    <xf numFmtId="0" fontId="12" fillId="15" borderId="20" xfId="0" applyNumberFormat="1" applyFont="1" applyFill="1" applyBorder="1" applyAlignment="1" applyProtection="1">
      <alignment vertical="center"/>
      <protection/>
    </xf>
    <xf numFmtId="204" fontId="46" fillId="15" borderId="20" xfId="0" applyNumberFormat="1" applyFont="1" applyFill="1" applyBorder="1" applyAlignment="1">
      <alignment vertical="center"/>
    </xf>
    <xf numFmtId="204" fontId="12" fillId="15" borderId="20" xfId="0" applyNumberFormat="1" applyFont="1" applyFill="1" applyBorder="1" applyAlignment="1">
      <alignment vertical="center"/>
    </xf>
    <xf numFmtId="0" fontId="46" fillId="15" borderId="20" xfId="0" applyFont="1" applyFill="1" applyBorder="1" applyAlignment="1">
      <alignment vertical="center"/>
    </xf>
    <xf numFmtId="0" fontId="180" fillId="33" borderId="45" xfId="0" applyNumberFormat="1" applyFont="1" applyFill="1" applyBorder="1" applyAlignment="1" applyProtection="1">
      <alignment horizontal="center" vertical="center"/>
      <protection/>
    </xf>
    <xf numFmtId="0" fontId="180" fillId="33" borderId="46" xfId="0" applyNumberFormat="1" applyFont="1" applyFill="1" applyBorder="1" applyAlignment="1" applyProtection="1">
      <alignment horizontal="center" vertical="center"/>
      <protection/>
    </xf>
    <xf numFmtId="0" fontId="181" fillId="33" borderId="46" xfId="0" applyFont="1" applyFill="1" applyBorder="1" applyAlignment="1" applyProtection="1">
      <alignment horizontal="center" vertical="center"/>
      <protection/>
    </xf>
    <xf numFmtId="0" fontId="73" fillId="36" borderId="19" xfId="0" applyNumberFormat="1" applyFont="1" applyFill="1" applyBorder="1" applyAlignment="1" applyProtection="1">
      <alignment horizontal="center" vertical="center"/>
      <protection/>
    </xf>
    <xf numFmtId="0" fontId="73" fillId="37" borderId="19" xfId="0" applyNumberFormat="1" applyFont="1" applyFill="1" applyBorder="1" applyAlignment="1" applyProtection="1">
      <alignment horizontal="center" vertical="center"/>
      <protection/>
    </xf>
    <xf numFmtId="0" fontId="180" fillId="36" borderId="19" xfId="0" applyNumberFormat="1" applyFont="1" applyFill="1" applyBorder="1" applyAlignment="1" applyProtection="1">
      <alignment horizontal="center" vertical="center"/>
      <protection/>
    </xf>
    <xf numFmtId="0" fontId="73" fillId="45" borderId="19" xfId="0" applyNumberFormat="1" applyFont="1" applyFill="1" applyBorder="1" applyAlignment="1" applyProtection="1">
      <alignment horizontal="center" vertical="center"/>
      <protection/>
    </xf>
    <xf numFmtId="0" fontId="73" fillId="42" borderId="19" xfId="0" applyNumberFormat="1" applyFont="1" applyFill="1" applyBorder="1" applyAlignment="1" applyProtection="1">
      <alignment horizontal="center" vertical="center"/>
      <protection/>
    </xf>
    <xf numFmtId="0" fontId="180" fillId="44" borderId="19" xfId="0" applyNumberFormat="1" applyFont="1" applyFill="1" applyBorder="1" applyAlignment="1" applyProtection="1">
      <alignment horizontal="center" vertical="center"/>
      <protection/>
    </xf>
    <xf numFmtId="0" fontId="12" fillId="7" borderId="21" xfId="0" applyFont="1" applyFill="1" applyBorder="1" applyAlignment="1" applyProtection="1">
      <alignment vertical="center"/>
      <protection/>
    </xf>
    <xf numFmtId="190" fontId="12" fillId="7" borderId="19" xfId="0" applyNumberFormat="1" applyFont="1" applyFill="1" applyBorder="1" applyAlignment="1" applyProtection="1">
      <alignment horizontal="center" vertical="center"/>
      <protection locked="0"/>
    </xf>
    <xf numFmtId="4" fontId="12" fillId="0" borderId="43" xfId="0" applyNumberFormat="1" applyFont="1" applyFill="1" applyBorder="1" applyAlignment="1">
      <alignment vertical="center"/>
    </xf>
    <xf numFmtId="190" fontId="12" fillId="0" borderId="19" xfId="0" applyNumberFormat="1" applyFont="1" applyFill="1" applyBorder="1" applyAlignment="1" applyProtection="1">
      <alignment horizontal="center" vertical="center"/>
      <protection/>
    </xf>
    <xf numFmtId="49" fontId="110" fillId="34" borderId="27" xfId="0" applyNumberFormat="1" applyFont="1" applyFill="1" applyBorder="1" applyAlignment="1" applyProtection="1">
      <alignment horizontal="right" vertical="center"/>
      <protection/>
    </xf>
    <xf numFmtId="49" fontId="110" fillId="34" borderId="47" xfId="0" applyNumberFormat="1" applyFont="1" applyFill="1" applyBorder="1" applyAlignment="1" applyProtection="1">
      <alignment horizontal="right" vertical="center"/>
      <protection/>
    </xf>
    <xf numFmtId="0" fontId="9" fillId="36" borderId="20" xfId="0" applyFont="1" applyFill="1" applyBorder="1" applyAlignment="1" applyProtection="1">
      <alignment horizontal="center" vertical="center"/>
      <protection/>
    </xf>
    <xf numFmtId="0" fontId="73" fillId="36" borderId="46" xfId="0" applyNumberFormat="1" applyFont="1" applyFill="1" applyBorder="1" applyAlignment="1" applyProtection="1">
      <alignment horizontal="center" vertical="center"/>
      <protection/>
    </xf>
    <xf numFmtId="0" fontId="183" fillId="33" borderId="46" xfId="0" applyFont="1" applyFill="1" applyBorder="1" applyAlignment="1" applyProtection="1">
      <alignment horizontal="center" vertical="center"/>
      <protection/>
    </xf>
    <xf numFmtId="204" fontId="180" fillId="36" borderId="20" xfId="0" applyNumberFormat="1" applyFont="1" applyFill="1" applyBorder="1" applyAlignment="1" applyProtection="1">
      <alignment horizontal="center" vertical="center"/>
      <protection/>
    </xf>
    <xf numFmtId="0" fontId="180" fillId="51" borderId="46" xfId="0" applyNumberFormat="1" applyFont="1" applyFill="1" applyBorder="1" applyAlignment="1" applyProtection="1">
      <alignment horizontal="center" vertical="center"/>
      <protection/>
    </xf>
    <xf numFmtId="0" fontId="183" fillId="36" borderId="20" xfId="0" applyFont="1" applyFill="1" applyBorder="1" applyAlignment="1" applyProtection="1">
      <alignment horizontal="center" vertical="center"/>
      <protection/>
    </xf>
    <xf numFmtId="0" fontId="180" fillId="33" borderId="48" xfId="0" applyNumberFormat="1" applyFont="1" applyFill="1" applyBorder="1" applyAlignment="1" applyProtection="1">
      <alignment horizontal="center" vertical="center"/>
      <protection/>
    </xf>
    <xf numFmtId="0" fontId="73" fillId="36" borderId="21" xfId="0" applyNumberFormat="1" applyFont="1" applyFill="1" applyBorder="1" applyAlignment="1" applyProtection="1">
      <alignment horizontal="center" vertical="center"/>
      <protection/>
    </xf>
    <xf numFmtId="0" fontId="180" fillId="36" borderId="20" xfId="0" applyFont="1" applyFill="1" applyBorder="1" applyAlignment="1" applyProtection="1">
      <alignment horizontal="center" vertical="center"/>
      <protection/>
    </xf>
    <xf numFmtId="0" fontId="12" fillId="0" borderId="20" xfId="0" applyFont="1" applyBorder="1" applyAlignment="1">
      <alignment vertical="center"/>
    </xf>
    <xf numFmtId="0" fontId="48" fillId="7" borderId="20" xfId="0" applyFont="1" applyFill="1" applyBorder="1" applyAlignment="1">
      <alignment vertical="center"/>
    </xf>
    <xf numFmtId="0" fontId="48" fillId="0" borderId="20" xfId="0" applyFont="1" applyBorder="1" applyAlignment="1">
      <alignment vertical="center"/>
    </xf>
    <xf numFmtId="0" fontId="12" fillId="7" borderId="20" xfId="53" applyNumberFormat="1" applyFont="1" applyFill="1" applyBorder="1" applyAlignment="1" applyProtection="1">
      <alignment vertical="center"/>
      <protection locked="0"/>
    </xf>
    <xf numFmtId="4" fontId="46" fillId="0" borderId="20" xfId="42" applyNumberFormat="1" applyFont="1" applyFill="1" applyBorder="1" applyAlignment="1" applyProtection="1">
      <alignment vertical="center"/>
      <protection/>
    </xf>
    <xf numFmtId="3" fontId="46" fillId="0" borderId="20" xfId="42" applyNumberFormat="1" applyFont="1" applyFill="1" applyBorder="1" applyAlignment="1" applyProtection="1">
      <alignment vertical="center"/>
      <protection/>
    </xf>
    <xf numFmtId="4" fontId="46" fillId="0" borderId="20" xfId="42" applyNumberFormat="1" applyFont="1" applyFill="1" applyBorder="1" applyAlignment="1" applyProtection="1">
      <alignment vertical="center"/>
      <protection locked="0"/>
    </xf>
    <xf numFmtId="3" fontId="46" fillId="0" borderId="20" xfId="42" applyNumberFormat="1" applyFont="1" applyFill="1" applyBorder="1" applyAlignment="1" applyProtection="1">
      <alignment vertical="center"/>
      <protection locked="0"/>
    </xf>
    <xf numFmtId="4" fontId="46" fillId="0" borderId="19" xfId="0" applyNumberFormat="1" applyFont="1" applyFill="1" applyBorder="1" applyAlignment="1">
      <alignment vertical="center"/>
    </xf>
    <xf numFmtId="3" fontId="46" fillId="0" borderId="19" xfId="0" applyNumberFormat="1" applyFont="1" applyFill="1" applyBorder="1" applyAlignment="1">
      <alignment vertical="center"/>
    </xf>
    <xf numFmtId="0" fontId="9" fillId="33" borderId="46" xfId="0" applyFont="1" applyFill="1" applyBorder="1" applyAlignment="1" applyProtection="1">
      <alignment horizontal="center" vertical="center"/>
      <protection/>
    </xf>
    <xf numFmtId="0" fontId="180" fillId="36" borderId="46" xfId="0" applyNumberFormat="1" applyFont="1" applyFill="1" applyBorder="1" applyAlignment="1" applyProtection="1">
      <alignment horizontal="center" vertical="center"/>
      <protection/>
    </xf>
    <xf numFmtId="0" fontId="73" fillId="37" borderId="21" xfId="0" applyNumberFormat="1" applyFont="1" applyFill="1" applyBorder="1" applyAlignment="1" applyProtection="1">
      <alignment horizontal="center" vertical="center"/>
      <protection/>
    </xf>
    <xf numFmtId="0" fontId="73" fillId="45" borderId="21" xfId="0" applyNumberFormat="1" applyFont="1" applyFill="1" applyBorder="1" applyAlignment="1" applyProtection="1">
      <alignment horizontal="center" vertical="center"/>
      <protection/>
    </xf>
    <xf numFmtId="0" fontId="180" fillId="44" borderId="21" xfId="0" applyNumberFormat="1" applyFont="1" applyFill="1" applyBorder="1" applyAlignment="1" applyProtection="1">
      <alignment horizontal="center" vertical="center"/>
      <protection/>
    </xf>
    <xf numFmtId="0" fontId="181" fillId="0" borderId="21" xfId="0" applyFont="1" applyFill="1" applyBorder="1" applyAlignment="1" applyProtection="1">
      <alignment horizontal="center" vertical="center"/>
      <protection/>
    </xf>
    <xf numFmtId="0" fontId="46" fillId="7" borderId="21" xfId="0" applyFont="1" applyFill="1" applyBorder="1" applyAlignment="1">
      <alignment vertical="center"/>
    </xf>
    <xf numFmtId="0" fontId="12" fillId="7" borderId="21" xfId="0" applyNumberFormat="1" applyFont="1" applyFill="1" applyBorder="1" applyAlignment="1" applyProtection="1">
      <alignment vertical="center"/>
      <protection locked="0"/>
    </xf>
    <xf numFmtId="190" fontId="12" fillId="7" borderId="21" xfId="0" applyNumberFormat="1" applyFont="1" applyFill="1" applyBorder="1" applyAlignment="1" applyProtection="1">
      <alignment horizontal="center" vertical="center"/>
      <protection locked="0"/>
    </xf>
    <xf numFmtId="1" fontId="12" fillId="7" borderId="21" xfId="0" applyNumberFormat="1" applyFont="1" applyFill="1" applyBorder="1" applyAlignment="1">
      <alignment vertical="center"/>
    </xf>
    <xf numFmtId="0" fontId="12" fillId="0" borderId="21" xfId="0" applyNumberFormat="1" applyFont="1" applyFill="1" applyBorder="1" applyAlignment="1" applyProtection="1">
      <alignment vertical="center"/>
      <protection locked="0"/>
    </xf>
    <xf numFmtId="4" fontId="46" fillId="0" borderId="21" xfId="42" applyNumberFormat="1" applyFont="1" applyFill="1" applyBorder="1" applyAlignment="1" applyProtection="1">
      <alignment vertical="center"/>
      <protection locked="0"/>
    </xf>
    <xf numFmtId="3" fontId="46" fillId="0" borderId="21" xfId="42" applyNumberFormat="1" applyFont="1" applyFill="1" applyBorder="1" applyAlignment="1" applyProtection="1">
      <alignment vertical="center"/>
      <protection locked="0"/>
    </xf>
    <xf numFmtId="4" fontId="12" fillId="0" borderId="21" xfId="42" applyNumberFormat="1" applyFont="1" applyFill="1" applyBorder="1" applyAlignment="1" applyProtection="1">
      <alignment vertical="center"/>
      <protection locked="0"/>
    </xf>
    <xf numFmtId="3" fontId="12" fillId="0" borderId="21" xfId="42" applyNumberFormat="1" applyFont="1" applyFill="1" applyBorder="1" applyAlignment="1" applyProtection="1">
      <alignment vertical="center"/>
      <protection locked="0"/>
    </xf>
    <xf numFmtId="4" fontId="184" fillId="0" borderId="19" xfId="0" applyNumberFormat="1" applyFont="1" applyFill="1" applyBorder="1" applyAlignment="1">
      <alignment vertical="center"/>
    </xf>
    <xf numFmtId="3" fontId="184" fillId="0" borderId="19" xfId="0" applyNumberFormat="1" applyFont="1" applyFill="1" applyBorder="1" applyAlignment="1">
      <alignment vertical="center"/>
    </xf>
    <xf numFmtId="4" fontId="184" fillId="0" borderId="20" xfId="42" applyNumberFormat="1" applyFont="1" applyFill="1" applyBorder="1" applyAlignment="1" applyProtection="1">
      <alignment vertical="center"/>
      <protection locked="0"/>
    </xf>
    <xf numFmtId="3" fontId="184" fillId="0" borderId="20" xfId="42" applyNumberFormat="1" applyFont="1" applyFill="1" applyBorder="1" applyAlignment="1" applyProtection="1">
      <alignment vertical="center"/>
      <protection locked="0"/>
    </xf>
    <xf numFmtId="4" fontId="184" fillId="0" borderId="20" xfId="0" applyNumberFormat="1" applyFont="1" applyFill="1" applyBorder="1" applyAlignment="1">
      <alignment vertical="center"/>
    </xf>
    <xf numFmtId="3" fontId="184" fillId="0" borderId="20" xfId="0" applyNumberFormat="1" applyFont="1" applyFill="1" applyBorder="1" applyAlignment="1">
      <alignment vertical="center"/>
    </xf>
    <xf numFmtId="4" fontId="184" fillId="0" borderId="20" xfId="42" applyNumberFormat="1" applyFont="1" applyFill="1" applyBorder="1" applyAlignment="1" applyProtection="1">
      <alignment vertical="center"/>
      <protection/>
    </xf>
    <xf numFmtId="3" fontId="184" fillId="0" borderId="20" xfId="42" applyNumberFormat="1" applyFont="1" applyFill="1" applyBorder="1" applyAlignment="1" applyProtection="1">
      <alignment vertical="center"/>
      <protection/>
    </xf>
    <xf numFmtId="4" fontId="184" fillId="0" borderId="20" xfId="43" applyNumberFormat="1" applyFont="1" applyFill="1" applyBorder="1" applyAlignment="1" applyProtection="1">
      <alignment vertical="center"/>
      <protection locked="0"/>
    </xf>
    <xf numFmtId="3" fontId="184" fillId="0" borderId="20" xfId="43" applyNumberFormat="1" applyFont="1" applyFill="1" applyBorder="1" applyAlignment="1" applyProtection="1">
      <alignment vertical="center"/>
      <protection locked="0"/>
    </xf>
    <xf numFmtId="4" fontId="184" fillId="0" borderId="20" xfId="53" applyNumberFormat="1" applyFont="1" applyFill="1" applyBorder="1" applyAlignment="1" applyProtection="1">
      <alignment vertical="center"/>
      <protection/>
    </xf>
    <xf numFmtId="3" fontId="184" fillId="0" borderId="20" xfId="53" applyNumberFormat="1" applyFont="1" applyFill="1" applyBorder="1" applyAlignment="1" applyProtection="1">
      <alignment vertical="center"/>
      <protection/>
    </xf>
    <xf numFmtId="0" fontId="46" fillId="39" borderId="20" xfId="0" applyNumberFormat="1" applyFont="1" applyFill="1" applyBorder="1" applyAlignment="1" applyProtection="1">
      <alignment vertical="center"/>
      <protection locked="0"/>
    </xf>
    <xf numFmtId="0" fontId="12" fillId="39" borderId="20" xfId="0" applyFont="1" applyFill="1" applyBorder="1" applyAlignment="1">
      <alignment vertical="center"/>
    </xf>
    <xf numFmtId="0" fontId="12" fillId="39" borderId="20" xfId="0" applyNumberFormat="1" applyFont="1" applyFill="1" applyBorder="1" applyAlignment="1" applyProtection="1">
      <alignment vertical="center"/>
      <protection locked="0"/>
    </xf>
    <xf numFmtId="0" fontId="46" fillId="39" borderId="20" xfId="0" applyNumberFormat="1" applyFont="1" applyFill="1" applyBorder="1" applyAlignment="1">
      <alignment vertical="center"/>
    </xf>
    <xf numFmtId="0" fontId="12" fillId="39" borderId="20" xfId="0" applyNumberFormat="1" applyFont="1" applyFill="1" applyBorder="1" applyAlignment="1">
      <alignment vertical="center"/>
    </xf>
    <xf numFmtId="0" fontId="175" fillId="39" borderId="20" xfId="0" applyFont="1" applyFill="1" applyBorder="1" applyAlignment="1">
      <alignment vertical="center"/>
    </xf>
    <xf numFmtId="0" fontId="12" fillId="39" borderId="20" xfId="0" applyNumberFormat="1" applyFont="1" applyFill="1" applyBorder="1" applyAlignment="1" applyProtection="1">
      <alignment vertical="center"/>
      <protection/>
    </xf>
    <xf numFmtId="204" fontId="46" fillId="39" borderId="20" xfId="0" applyNumberFormat="1" applyFont="1" applyFill="1" applyBorder="1" applyAlignment="1">
      <alignment vertical="center"/>
    </xf>
    <xf numFmtId="204" fontId="12" fillId="39" borderId="20" xfId="0" applyNumberFormat="1" applyFont="1" applyFill="1" applyBorder="1" applyAlignment="1">
      <alignment vertical="center"/>
    </xf>
    <xf numFmtId="0" fontId="46" fillId="39" borderId="20" xfId="0" applyFont="1" applyFill="1" applyBorder="1" applyAlignment="1">
      <alignment vertical="center"/>
    </xf>
    <xf numFmtId="0" fontId="48" fillId="36" borderId="0" xfId="0" applyFont="1" applyFill="1" applyAlignment="1" applyProtection="1">
      <alignment horizontal="center" vertical="center"/>
      <protection/>
    </xf>
    <xf numFmtId="0" fontId="0" fillId="0" borderId="20" xfId="0" applyBorder="1" applyAlignment="1">
      <alignment/>
    </xf>
    <xf numFmtId="0" fontId="34" fillId="36" borderId="0" xfId="0" applyNumberFormat="1" applyFont="1" applyFill="1" applyAlignment="1" applyProtection="1">
      <alignment horizontal="center" vertical="center"/>
      <protection/>
    </xf>
    <xf numFmtId="0" fontId="34" fillId="0" borderId="0" xfId="0" applyNumberFormat="1" applyFont="1" applyFill="1" applyAlignment="1" applyProtection="1">
      <alignment horizontal="center" vertical="center"/>
      <protection/>
    </xf>
    <xf numFmtId="0" fontId="48" fillId="0" borderId="0" xfId="0" applyFont="1" applyFill="1" applyAlignment="1" applyProtection="1">
      <alignment horizontal="center" vertical="center"/>
      <protection/>
    </xf>
    <xf numFmtId="0" fontId="172" fillId="36" borderId="0" xfId="0" applyNumberFormat="1" applyFont="1" applyFill="1" applyAlignment="1" applyProtection="1">
      <alignment horizontal="center" vertical="center"/>
      <protection/>
    </xf>
    <xf numFmtId="0" fontId="172" fillId="0" borderId="0" xfId="0" applyNumberFormat="1" applyFont="1" applyFill="1" applyAlignment="1" applyProtection="1">
      <alignment horizontal="center" vertical="center"/>
      <protection/>
    </xf>
    <xf numFmtId="0" fontId="172" fillId="44" borderId="0" xfId="0" applyNumberFormat="1" applyFont="1" applyFill="1" applyAlignment="1" applyProtection="1">
      <alignment horizontal="center" vertical="center"/>
      <protection/>
    </xf>
    <xf numFmtId="204" fontId="48" fillId="7" borderId="20" xfId="0" applyNumberFormat="1" applyFont="1" applyFill="1" applyBorder="1" applyAlignment="1">
      <alignment vertical="center"/>
    </xf>
    <xf numFmtId="3" fontId="48" fillId="0" borderId="20" xfId="43" applyNumberFormat="1" applyFont="1" applyFill="1" applyBorder="1" applyAlignment="1" applyProtection="1">
      <alignment vertical="center"/>
      <protection locked="0"/>
    </xf>
    <xf numFmtId="4" fontId="48" fillId="36" borderId="20" xfId="43" applyNumberFormat="1" applyFont="1" applyFill="1" applyBorder="1" applyAlignment="1" applyProtection="1">
      <alignment horizontal="right" vertical="center"/>
      <protection locked="0"/>
    </xf>
    <xf numFmtId="3" fontId="48" fillId="36" borderId="20" xfId="43" applyNumberFormat="1" applyFont="1" applyFill="1" applyBorder="1" applyAlignment="1" applyProtection="1">
      <alignment horizontal="right" vertical="center"/>
      <protection locked="0"/>
    </xf>
    <xf numFmtId="0" fontId="48" fillId="7" borderId="20" xfId="0" applyNumberFormat="1" applyFont="1" applyFill="1" applyBorder="1" applyAlignment="1">
      <alignment vertical="center"/>
    </xf>
    <xf numFmtId="3" fontId="48" fillId="33" borderId="20" xfId="0" applyNumberFormat="1" applyFont="1" applyFill="1" applyBorder="1" applyAlignment="1">
      <alignment vertical="center"/>
    </xf>
    <xf numFmtId="4" fontId="48" fillId="36" borderId="20" xfId="0" applyNumberFormat="1" applyFont="1" applyFill="1" applyBorder="1" applyAlignment="1">
      <alignment horizontal="right"/>
    </xf>
    <xf numFmtId="3" fontId="48" fillId="36" borderId="20" xfId="0" applyNumberFormat="1" applyFont="1" applyFill="1" applyBorder="1" applyAlignment="1">
      <alignment horizontal="right"/>
    </xf>
    <xf numFmtId="3" fontId="48" fillId="0" borderId="20" xfId="0" applyNumberFormat="1" applyFont="1" applyFill="1" applyBorder="1" applyAlignment="1">
      <alignment vertical="center"/>
    </xf>
    <xf numFmtId="0" fontId="185" fillId="7" borderId="20" xfId="0" applyFont="1" applyFill="1" applyBorder="1" applyAlignment="1" applyProtection="1">
      <alignment vertical="center"/>
      <protection locked="0"/>
    </xf>
    <xf numFmtId="3" fontId="48" fillId="0" borderId="20" xfId="0" applyNumberFormat="1" applyFont="1" applyBorder="1" applyAlignment="1">
      <alignment vertical="center"/>
    </xf>
    <xf numFmtId="4" fontId="48" fillId="36" borderId="20" xfId="0" applyNumberFormat="1" applyFont="1" applyFill="1" applyBorder="1" applyAlignment="1">
      <alignment horizontal="right" wrapText="1"/>
    </xf>
    <xf numFmtId="204" fontId="185" fillId="7" borderId="20" xfId="0" applyNumberFormat="1" applyFont="1" applyFill="1" applyBorder="1" applyAlignment="1">
      <alignment vertical="center"/>
    </xf>
    <xf numFmtId="0" fontId="48" fillId="7" borderId="20" xfId="0" applyNumberFormat="1" applyFont="1" applyFill="1" applyBorder="1" applyAlignment="1" applyProtection="1">
      <alignment vertical="center"/>
      <protection locked="0"/>
    </xf>
    <xf numFmtId="0" fontId="186" fillId="7" borderId="20" xfId="0" applyFont="1" applyFill="1" applyBorder="1" applyAlignment="1">
      <alignment vertical="center"/>
    </xf>
    <xf numFmtId="0" fontId="185" fillId="7" borderId="20" xfId="0" applyNumberFormat="1" applyFont="1" applyFill="1" applyBorder="1" applyAlignment="1" applyProtection="1">
      <alignment vertical="center"/>
      <protection/>
    </xf>
    <xf numFmtId="4" fontId="48" fillId="0" borderId="20" xfId="44" applyNumberFormat="1" applyFont="1" applyFill="1" applyBorder="1" applyAlignment="1" applyProtection="1">
      <alignment vertical="center"/>
      <protection locked="0"/>
    </xf>
    <xf numFmtId="3" fontId="48" fillId="0" borderId="20" xfId="44" applyNumberFormat="1" applyFont="1" applyFill="1" applyBorder="1" applyAlignment="1" applyProtection="1">
      <alignment vertical="center"/>
      <protection locked="0"/>
    </xf>
    <xf numFmtId="4" fontId="48" fillId="36" borderId="20" xfId="44" applyNumberFormat="1" applyFont="1" applyFill="1" applyBorder="1" applyAlignment="1" applyProtection="1">
      <alignment horizontal="right" vertical="center"/>
      <protection locked="0"/>
    </xf>
    <xf numFmtId="3" fontId="48" fillId="36" borderId="20" xfId="44" applyNumberFormat="1" applyFont="1" applyFill="1" applyBorder="1" applyAlignment="1" applyProtection="1">
      <alignment horizontal="right" vertical="center"/>
      <protection locked="0"/>
    </xf>
    <xf numFmtId="0" fontId="185" fillId="7" borderId="20" xfId="0" applyNumberFormat="1" applyFont="1" applyFill="1" applyBorder="1" applyAlignment="1" applyProtection="1">
      <alignment vertical="center"/>
      <protection locked="0"/>
    </xf>
    <xf numFmtId="0" fontId="185" fillId="7" borderId="20" xfId="0" applyFont="1" applyFill="1" applyBorder="1" applyAlignment="1">
      <alignment vertical="center"/>
    </xf>
    <xf numFmtId="0" fontId="48" fillId="7" borderId="20" xfId="0" applyFont="1" applyFill="1" applyBorder="1" applyAlignment="1">
      <alignment vertical="center"/>
    </xf>
    <xf numFmtId="0" fontId="48" fillId="7" borderId="20" xfId="57" applyFont="1" applyFill="1" applyBorder="1" applyAlignment="1">
      <alignment vertical="center"/>
      <protection/>
    </xf>
    <xf numFmtId="3" fontId="48" fillId="36" borderId="20" xfId="0" applyNumberFormat="1" applyFont="1" applyFill="1" applyBorder="1" applyAlignment="1">
      <alignment vertical="center"/>
    </xf>
    <xf numFmtId="4" fontId="48" fillId="36" borderId="20" xfId="43" applyNumberFormat="1" applyFont="1" applyFill="1" applyBorder="1" applyAlignment="1" applyProtection="1">
      <alignment horizontal="right" vertical="center"/>
      <protection/>
    </xf>
    <xf numFmtId="3" fontId="48" fillId="36" borderId="20" xfId="43" applyNumberFormat="1" applyFont="1" applyFill="1" applyBorder="1" applyAlignment="1" applyProtection="1">
      <alignment horizontal="right" vertical="center"/>
      <protection/>
    </xf>
    <xf numFmtId="4" fontId="48" fillId="0" borderId="20" xfId="43" applyNumberFormat="1" applyFont="1" applyFill="1" applyBorder="1" applyAlignment="1" applyProtection="1">
      <alignment vertical="center"/>
      <protection/>
    </xf>
    <xf numFmtId="3" fontId="48" fillId="0" borderId="20" xfId="43" applyNumberFormat="1" applyFont="1" applyFill="1" applyBorder="1" applyAlignment="1" applyProtection="1">
      <alignment vertical="center"/>
      <protection/>
    </xf>
    <xf numFmtId="3" fontId="48" fillId="0" borderId="20" xfId="40" applyNumberFormat="1" applyFont="1" applyFill="1" applyBorder="1" applyAlignment="1" applyProtection="1">
      <alignment vertical="center"/>
      <protection/>
    </xf>
    <xf numFmtId="0" fontId="185" fillId="7" borderId="20" xfId="0" applyNumberFormat="1" applyFont="1" applyFill="1" applyBorder="1" applyAlignment="1">
      <alignment vertical="center"/>
    </xf>
    <xf numFmtId="0" fontId="48" fillId="7" borderId="20" xfId="0" applyNumberFormat="1" applyFont="1" applyFill="1" applyBorder="1" applyAlignment="1" applyProtection="1">
      <alignment vertical="center"/>
      <protection/>
    </xf>
    <xf numFmtId="0" fontId="185" fillId="7" borderId="20" xfId="0" applyFont="1" applyFill="1" applyBorder="1" applyAlignment="1">
      <alignment vertical="center"/>
    </xf>
    <xf numFmtId="4" fontId="48" fillId="0" borderId="20" xfId="40" applyNumberFormat="1" applyFont="1" applyFill="1" applyBorder="1" applyAlignment="1" applyProtection="1">
      <alignment vertical="center"/>
      <protection locked="0"/>
    </xf>
    <xf numFmtId="3" fontId="48" fillId="0" borderId="20" xfId="40" applyNumberFormat="1" applyFont="1" applyFill="1" applyBorder="1" applyAlignment="1" applyProtection="1">
      <alignment vertical="center"/>
      <protection locked="0"/>
    </xf>
    <xf numFmtId="0" fontId="48" fillId="7" borderId="20" xfId="0" applyFont="1" applyFill="1" applyBorder="1" applyAlignment="1" applyProtection="1">
      <alignment vertical="center"/>
      <protection locked="0"/>
    </xf>
    <xf numFmtId="3" fontId="48" fillId="0" borderId="20" xfId="53" applyNumberFormat="1" applyFont="1" applyFill="1" applyBorder="1" applyAlignment="1" applyProtection="1">
      <alignment vertical="center"/>
      <protection/>
    </xf>
    <xf numFmtId="204" fontId="48" fillId="7" borderId="43" xfId="0" applyNumberFormat="1" applyFont="1" applyFill="1" applyBorder="1" applyAlignment="1">
      <alignment vertical="center"/>
    </xf>
    <xf numFmtId="4" fontId="48" fillId="0" borderId="43" xfId="43" applyNumberFormat="1" applyFont="1" applyFill="1" applyBorder="1" applyAlignment="1" applyProtection="1">
      <alignment vertical="center"/>
      <protection locked="0"/>
    </xf>
    <xf numFmtId="3" fontId="48" fillId="0" borderId="43" xfId="43" applyNumberFormat="1" applyFont="1" applyFill="1" applyBorder="1" applyAlignment="1" applyProtection="1">
      <alignment vertical="center"/>
      <protection locked="0"/>
    </xf>
    <xf numFmtId="0" fontId="73" fillId="37" borderId="43" xfId="0" applyNumberFormat="1" applyFont="1" applyFill="1" applyBorder="1" applyAlignment="1" applyProtection="1">
      <alignment horizontal="center" vertical="center"/>
      <protection/>
    </xf>
    <xf numFmtId="0" fontId="73" fillId="45" borderId="43" xfId="0" applyNumberFormat="1" applyFont="1" applyFill="1" applyBorder="1" applyAlignment="1" applyProtection="1">
      <alignment horizontal="center" vertical="center"/>
      <protection/>
    </xf>
    <xf numFmtId="0" fontId="73" fillId="42" borderId="43" xfId="0" applyNumberFormat="1" applyFont="1" applyFill="1" applyBorder="1" applyAlignment="1" applyProtection="1">
      <alignment horizontal="center" vertical="center"/>
      <protection/>
    </xf>
    <xf numFmtId="0" fontId="180" fillId="44" borderId="43" xfId="0" applyNumberFormat="1" applyFont="1" applyFill="1" applyBorder="1" applyAlignment="1" applyProtection="1">
      <alignment horizontal="center" vertical="center"/>
      <protection/>
    </xf>
    <xf numFmtId="3" fontId="12" fillId="0" borderId="43" xfId="0" applyNumberFormat="1" applyFont="1" applyFill="1" applyBorder="1" applyAlignment="1">
      <alignment vertical="center"/>
    </xf>
    <xf numFmtId="0" fontId="176" fillId="0" borderId="11" xfId="0" applyFont="1" applyBorder="1" applyAlignment="1">
      <alignment horizontal="center"/>
    </xf>
    <xf numFmtId="204" fontId="48" fillId="7" borderId="20" xfId="0" applyNumberFormat="1" applyFont="1" applyFill="1" applyBorder="1" applyAlignment="1">
      <alignment vertical="center"/>
    </xf>
    <xf numFmtId="0" fontId="12" fillId="7" borderId="20" xfId="0" applyFont="1" applyFill="1" applyBorder="1" applyAlignment="1" applyProtection="1">
      <alignment vertical="center"/>
      <protection/>
    </xf>
    <xf numFmtId="204" fontId="12" fillId="7" borderId="20" xfId="0" applyNumberFormat="1" applyFont="1" applyFill="1" applyBorder="1" applyAlignment="1">
      <alignment vertical="center"/>
    </xf>
    <xf numFmtId="190" fontId="12" fillId="7" borderId="20" xfId="0" applyNumberFormat="1" applyFont="1" applyFill="1" applyBorder="1" applyAlignment="1" applyProtection="1">
      <alignment horizontal="center" vertical="center"/>
      <protection locked="0"/>
    </xf>
    <xf numFmtId="0" fontId="12" fillId="7" borderId="20" xfId="0" applyNumberFormat="1" applyFont="1" applyFill="1" applyBorder="1" applyAlignment="1" applyProtection="1">
      <alignment vertical="center"/>
      <protection/>
    </xf>
    <xf numFmtId="0" fontId="48" fillId="7" borderId="20" xfId="0" applyNumberFormat="1" applyFont="1" applyFill="1" applyBorder="1" applyAlignment="1">
      <alignment vertical="center"/>
    </xf>
    <xf numFmtId="0" fontId="12" fillId="7" borderId="20" xfId="57" applyFont="1" applyFill="1" applyBorder="1" applyAlignment="1">
      <alignment vertical="center"/>
      <protection/>
    </xf>
    <xf numFmtId="0" fontId="48" fillId="7" borderId="20" xfId="57" applyFont="1" applyFill="1" applyBorder="1" applyAlignment="1">
      <alignment vertical="center"/>
      <protection/>
    </xf>
    <xf numFmtId="0" fontId="44" fillId="0" borderId="0" xfId="0" applyFont="1" applyFill="1" applyAlignment="1">
      <alignment/>
    </xf>
    <xf numFmtId="0" fontId="69" fillId="0" borderId="0" xfId="0" applyFont="1" applyFill="1" applyAlignment="1" applyProtection="1">
      <alignment horizontal="left" vertical="center"/>
      <protection locked="0"/>
    </xf>
    <xf numFmtId="0" fontId="44" fillId="39" borderId="0" xfId="0" applyFont="1" applyFill="1" applyBorder="1" applyAlignment="1">
      <alignment/>
    </xf>
    <xf numFmtId="0" fontId="69" fillId="39" borderId="0" xfId="0" applyFont="1" applyFill="1" applyBorder="1" applyAlignment="1">
      <alignment horizontal="left"/>
    </xf>
    <xf numFmtId="0" fontId="16" fillId="34" borderId="35" xfId="40" applyNumberFormat="1" applyFont="1" applyFill="1" applyBorder="1" applyAlignment="1" applyProtection="1">
      <alignment horizontal="center" wrapText="1"/>
      <protection/>
    </xf>
    <xf numFmtId="0" fontId="0" fillId="0" borderId="49" xfId="0" applyNumberFormat="1" applyBorder="1" applyAlignment="1">
      <alignment horizontal="center" wrapText="1"/>
    </xf>
    <xf numFmtId="0" fontId="0" fillId="0" borderId="50" xfId="0" applyNumberFormat="1" applyBorder="1" applyAlignment="1">
      <alignment horizontal="center" wrapText="1"/>
    </xf>
    <xf numFmtId="0" fontId="16" fillId="34" borderId="33" xfId="40" applyNumberFormat="1" applyFont="1" applyFill="1" applyBorder="1" applyAlignment="1" applyProtection="1">
      <alignment horizontal="center" wrapText="1"/>
      <protection/>
    </xf>
    <xf numFmtId="0" fontId="0" fillId="0" borderId="51" xfId="0" applyNumberFormat="1" applyBorder="1" applyAlignment="1">
      <alignment horizontal="center" wrapText="1"/>
    </xf>
    <xf numFmtId="0" fontId="0" fillId="0" borderId="52" xfId="0" applyNumberFormat="1" applyBorder="1" applyAlignment="1">
      <alignment horizontal="center" wrapText="1"/>
    </xf>
    <xf numFmtId="0" fontId="46" fillId="43" borderId="20" xfId="0" applyFont="1" applyFill="1" applyBorder="1" applyAlignment="1" applyProtection="1">
      <alignment horizontal="left" vertical="center" wrapText="1"/>
      <protection/>
    </xf>
    <xf numFmtId="0" fontId="26" fillId="33" borderId="53" xfId="0" applyFont="1" applyFill="1" applyBorder="1" applyAlignment="1" applyProtection="1">
      <alignment horizontal="center" vertical="center" wrapText="1"/>
      <protection/>
    </xf>
    <xf numFmtId="190" fontId="26" fillId="33" borderId="53" xfId="0" applyNumberFormat="1" applyFont="1" applyFill="1" applyBorder="1" applyAlignment="1" applyProtection="1">
      <alignment horizontal="center" vertical="center" wrapText="1"/>
      <protection/>
    </xf>
    <xf numFmtId="0" fontId="46" fillId="42" borderId="20" xfId="0" applyFont="1" applyFill="1" applyBorder="1" applyAlignment="1" applyProtection="1">
      <alignment horizontal="left" vertical="center" wrapText="1"/>
      <protection/>
    </xf>
    <xf numFmtId="0" fontId="16" fillId="34" borderId="10" xfId="0" applyFont="1" applyFill="1" applyBorder="1" applyAlignment="1" applyProtection="1">
      <alignment horizontal="center" vertical="center" wrapText="1"/>
      <protection/>
    </xf>
    <xf numFmtId="0" fontId="16" fillId="35" borderId="23" xfId="0" applyFont="1" applyFill="1" applyBorder="1" applyAlignment="1" applyProtection="1">
      <alignment horizontal="center" vertical="center" wrapText="1"/>
      <protection/>
    </xf>
    <xf numFmtId="0" fontId="187" fillId="47" borderId="20" xfId="0" applyFont="1" applyFill="1" applyBorder="1" applyAlignment="1" applyProtection="1">
      <alignment horizontal="left" vertical="center" wrapText="1"/>
      <protection/>
    </xf>
    <xf numFmtId="0" fontId="16" fillId="35" borderId="34" xfId="0" applyFont="1" applyFill="1" applyBorder="1" applyAlignment="1" applyProtection="1">
      <alignment horizontal="center" vertical="center" wrapText="1"/>
      <protection/>
    </xf>
    <xf numFmtId="0" fontId="16" fillId="35" borderId="54" xfId="0" applyFont="1" applyFill="1" applyBorder="1" applyAlignment="1" applyProtection="1">
      <alignment horizontal="center" vertical="center" wrapText="1"/>
      <protection/>
    </xf>
    <xf numFmtId="3" fontId="26" fillId="36" borderId="0" xfId="0" applyNumberFormat="1" applyFont="1" applyFill="1" applyBorder="1" applyAlignment="1" applyProtection="1">
      <alignment horizontal="right" vertical="center" wrapText="1" indent="1"/>
      <protection/>
    </xf>
    <xf numFmtId="0" fontId="0" fillId="36" borderId="0" xfId="0" applyFont="1" applyFill="1" applyBorder="1" applyAlignment="1">
      <alignment horizontal="right" indent="1"/>
    </xf>
    <xf numFmtId="4" fontId="26" fillId="36" borderId="0" xfId="0" applyNumberFormat="1" applyFont="1" applyFill="1" applyBorder="1" applyAlignment="1">
      <alignment horizontal="right" vertical="center" wrapText="1" indent="1"/>
    </xf>
    <xf numFmtId="0" fontId="17" fillId="34" borderId="16" xfId="0" applyFont="1" applyFill="1" applyBorder="1" applyAlignment="1" applyProtection="1">
      <alignment horizontal="center" vertical="center" wrapText="1"/>
      <protection/>
    </xf>
    <xf numFmtId="3" fontId="45" fillId="36" borderId="0" xfId="0" applyNumberFormat="1" applyFont="1" applyFill="1" applyBorder="1" applyAlignment="1" applyProtection="1">
      <alignment horizontal="center" vertical="center" wrapText="1"/>
      <protection/>
    </xf>
    <xf numFmtId="0" fontId="44" fillId="36" borderId="0" xfId="0" applyFont="1" applyFill="1" applyBorder="1" applyAlignment="1">
      <alignment horizontal="center" wrapText="1"/>
    </xf>
    <xf numFmtId="0" fontId="54" fillId="33" borderId="0" xfId="51" applyFont="1" applyFill="1" applyBorder="1" applyAlignment="1" applyProtection="1">
      <alignment horizontal="center" vertical="center" wrapText="1"/>
      <protection/>
    </xf>
    <xf numFmtId="0" fontId="28" fillId="33" borderId="0" xfId="0" applyFont="1" applyFill="1" applyBorder="1" applyAlignment="1">
      <alignment horizontal="center" vertical="center" wrapText="1"/>
    </xf>
    <xf numFmtId="0" fontId="21" fillId="34" borderId="10" xfId="0" applyFont="1" applyFill="1" applyBorder="1" applyAlignment="1" applyProtection="1">
      <alignment horizontal="center" vertical="center" wrapText="1"/>
      <protection/>
    </xf>
    <xf numFmtId="2" fontId="36" fillId="36" borderId="0" xfId="0" applyNumberFormat="1" applyFont="1" applyFill="1" applyBorder="1" applyAlignment="1">
      <alignment horizontal="right" vertical="center" wrapText="1" indent="1"/>
    </xf>
    <xf numFmtId="0" fontId="187" fillId="46" borderId="20" xfId="0" applyFont="1" applyFill="1" applyBorder="1" applyAlignment="1" applyProtection="1">
      <alignment horizontal="left" vertical="center" wrapText="1"/>
      <protection/>
    </xf>
    <xf numFmtId="0" fontId="187" fillId="46" borderId="20" xfId="0" applyFont="1" applyFill="1" applyBorder="1" applyAlignment="1">
      <alignment horizontal="left" vertical="center" wrapText="1"/>
    </xf>
    <xf numFmtId="3" fontId="38" fillId="33" borderId="0" xfId="0" applyNumberFormat="1" applyFont="1" applyFill="1" applyBorder="1" applyAlignment="1" applyProtection="1">
      <alignment horizontal="right" vertical="center" wrapText="1"/>
      <protection/>
    </xf>
    <xf numFmtId="0" fontId="50" fillId="0" borderId="0" xfId="0" applyFont="1" applyAlignment="1">
      <alignment vertical="center" wrapText="1"/>
    </xf>
    <xf numFmtId="0" fontId="0" fillId="0" borderId="0" xfId="0" applyFont="1" applyAlignment="1">
      <alignment vertical="center" wrapText="1"/>
    </xf>
    <xf numFmtId="0" fontId="57" fillId="14" borderId="55" xfId="0" applyFont="1" applyFill="1" applyBorder="1" applyAlignment="1" applyProtection="1">
      <alignment horizontal="center" vertical="center" wrapText="1"/>
      <protection/>
    </xf>
    <xf numFmtId="0" fontId="59" fillId="14" borderId="55" xfId="0" applyFont="1" applyFill="1" applyBorder="1" applyAlignment="1" applyProtection="1">
      <alignment horizontal="center" vertical="center" wrapText="1"/>
      <protection/>
    </xf>
    <xf numFmtId="0" fontId="60" fillId="0" borderId="0" xfId="0" applyFont="1" applyBorder="1" applyAlignment="1">
      <alignment horizontal="center" vertical="center" wrapText="1"/>
    </xf>
    <xf numFmtId="0" fontId="37" fillId="36" borderId="0" xfId="0" applyFont="1" applyFill="1" applyBorder="1" applyAlignment="1" applyProtection="1">
      <alignment horizontal="center" vertical="center" wrapText="1"/>
      <protection/>
    </xf>
    <xf numFmtId="0" fontId="44" fillId="36" borderId="0" xfId="0" applyFont="1" applyFill="1" applyBorder="1" applyAlignment="1">
      <alignment horizontal="center" vertical="center" wrapText="1"/>
    </xf>
    <xf numFmtId="0" fontId="187" fillId="48" borderId="20" xfId="0" applyFont="1" applyFill="1" applyBorder="1" applyAlignment="1" applyProtection="1">
      <alignment horizontal="left" vertical="center" wrapText="1"/>
      <protection/>
    </xf>
    <xf numFmtId="0" fontId="187" fillId="49" borderId="20" xfId="0" applyFont="1" applyFill="1" applyBorder="1" applyAlignment="1" applyProtection="1">
      <alignment horizontal="left" vertical="center" wrapText="1"/>
      <protection/>
    </xf>
    <xf numFmtId="0" fontId="46" fillId="45" borderId="20" xfId="0" applyFont="1" applyFill="1" applyBorder="1" applyAlignment="1" applyProtection="1">
      <alignment horizontal="left" vertical="center" wrapText="1"/>
      <protection/>
    </xf>
    <xf numFmtId="0" fontId="46" fillId="37" borderId="20" xfId="0" applyFont="1" applyFill="1" applyBorder="1" applyAlignment="1" applyProtection="1">
      <alignment horizontal="left" vertical="center" wrapText="1"/>
      <protection/>
    </xf>
    <xf numFmtId="0" fontId="46" fillId="37" borderId="20" xfId="0" applyFont="1" applyFill="1" applyBorder="1" applyAlignment="1">
      <alignment horizontal="left" vertical="center" wrapText="1"/>
    </xf>
    <xf numFmtId="1" fontId="11" fillId="33" borderId="0" xfId="0" applyNumberFormat="1" applyFont="1" applyFill="1" applyBorder="1" applyAlignment="1" applyProtection="1">
      <alignment horizontal="center" vertical="center" wrapText="1"/>
      <protection/>
    </xf>
    <xf numFmtId="0" fontId="49" fillId="33" borderId="0" xfId="0" applyFont="1" applyFill="1" applyBorder="1" applyAlignment="1" applyProtection="1">
      <alignment horizontal="center" vertical="center" wrapText="1"/>
      <protection/>
    </xf>
    <xf numFmtId="1" fontId="20" fillId="33" borderId="0" xfId="0" applyNumberFormat="1" applyFont="1" applyFill="1" applyBorder="1" applyAlignment="1" applyProtection="1">
      <alignment horizontal="center" vertical="center" wrapText="1"/>
      <protection/>
    </xf>
    <xf numFmtId="0" fontId="51" fillId="33" borderId="0" xfId="0" applyFont="1" applyFill="1" applyBorder="1" applyAlignment="1" applyProtection="1">
      <alignment horizontal="center" vertical="center" wrapText="1"/>
      <protection/>
    </xf>
    <xf numFmtId="1" fontId="32" fillId="33" borderId="11" xfId="51" applyNumberFormat="1" applyFont="1" applyFill="1" applyBorder="1" applyAlignment="1" applyProtection="1">
      <alignment horizontal="center" vertical="center" wrapText="1"/>
      <protection/>
    </xf>
    <xf numFmtId="0" fontId="31" fillId="33" borderId="11" xfId="0" applyFont="1" applyFill="1" applyBorder="1" applyAlignment="1" applyProtection="1">
      <alignment horizontal="center" vertical="center" wrapText="1"/>
      <protection/>
    </xf>
    <xf numFmtId="190" fontId="56" fillId="33" borderId="56"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33" borderId="56" xfId="0" applyFont="1" applyFill="1" applyBorder="1" applyAlignment="1" applyProtection="1">
      <alignment vertical="center" wrapText="1"/>
      <protection/>
    </xf>
    <xf numFmtId="0" fontId="17" fillId="34" borderId="57" xfId="0" applyFont="1" applyFill="1" applyBorder="1" applyAlignment="1" applyProtection="1">
      <alignment horizontal="center" vertical="center" wrapText="1"/>
      <protection/>
    </xf>
    <xf numFmtId="0" fontId="17" fillId="34" borderId="58" xfId="0" applyFont="1" applyFill="1" applyBorder="1" applyAlignment="1" applyProtection="1">
      <alignment horizontal="center" vertical="center" wrapText="1"/>
      <protection/>
    </xf>
    <xf numFmtId="190" fontId="14" fillId="33" borderId="59" xfId="0" applyNumberFormat="1" applyFont="1" applyFill="1" applyBorder="1" applyAlignment="1" applyProtection="1">
      <alignment horizontal="left" vertical="center" wrapText="1"/>
      <protection/>
    </xf>
    <xf numFmtId="0" fontId="0" fillId="33" borderId="55" xfId="0" applyFill="1" applyBorder="1" applyAlignment="1" applyProtection="1">
      <alignment vertical="center" wrapText="1"/>
      <protection/>
    </xf>
    <xf numFmtId="0" fontId="0" fillId="33" borderId="60" xfId="0" applyFill="1" applyBorder="1" applyAlignment="1" applyProtection="1">
      <alignment vertical="center" wrapText="1"/>
      <protection/>
    </xf>
    <xf numFmtId="0" fontId="0" fillId="33" borderId="56"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61" xfId="0" applyFill="1" applyBorder="1" applyAlignment="1" applyProtection="1">
      <alignment vertical="center" wrapText="1"/>
      <protection/>
    </xf>
    <xf numFmtId="0" fontId="0" fillId="33" borderId="62"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42" xfId="0" applyFill="1" applyBorder="1" applyAlignment="1" applyProtection="1">
      <alignment vertical="center" wrapText="1"/>
      <protection/>
    </xf>
    <xf numFmtId="0" fontId="188" fillId="14" borderId="11" xfId="0" applyFont="1" applyFill="1" applyBorder="1" applyAlignment="1" applyProtection="1">
      <alignment horizontal="center" vertical="center" wrapText="1"/>
      <protection/>
    </xf>
    <xf numFmtId="0" fontId="189" fillId="14" borderId="0" xfId="0" applyFont="1" applyFill="1" applyBorder="1" applyAlignment="1">
      <alignment horizontal="center" vertical="center" wrapText="1"/>
    </xf>
    <xf numFmtId="0" fontId="189" fillId="14" borderId="11" xfId="0" applyFont="1" applyFill="1" applyBorder="1" applyAlignment="1">
      <alignment horizontal="center" vertical="center" wrapText="1"/>
    </xf>
    <xf numFmtId="0" fontId="16" fillId="33" borderId="23" xfId="0" applyFont="1" applyFill="1" applyBorder="1" applyAlignment="1" applyProtection="1">
      <alignment horizontal="center" vertical="center" wrapText="1"/>
      <protection/>
    </xf>
    <xf numFmtId="0" fontId="16" fillId="33" borderId="10" xfId="0" applyFont="1" applyFill="1" applyBorder="1" applyAlignment="1" applyProtection="1">
      <alignment horizontal="center" vertical="center" wrapText="1"/>
      <protection/>
    </xf>
    <xf numFmtId="1" fontId="41" fillId="33" borderId="0" xfId="0" applyNumberFormat="1" applyFont="1" applyFill="1" applyBorder="1" applyAlignment="1" applyProtection="1">
      <alignment horizontal="center" vertical="center" wrapText="1"/>
      <protection/>
    </xf>
    <xf numFmtId="0" fontId="30" fillId="33" borderId="0" xfId="0" applyFont="1" applyFill="1" applyBorder="1" applyAlignment="1" applyProtection="1">
      <alignment horizontal="center" vertical="center" wrapText="1"/>
      <protection/>
    </xf>
    <xf numFmtId="1" fontId="24"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2" fillId="14" borderId="0" xfId="0" applyFont="1" applyFill="1" applyBorder="1" applyAlignment="1" applyProtection="1">
      <alignment horizontal="center" vertical="center" wrapText="1"/>
      <protection/>
    </xf>
    <xf numFmtId="0" fontId="63" fillId="14" borderId="0" xfId="0" applyFont="1" applyFill="1" applyBorder="1" applyAlignment="1" applyProtection="1">
      <alignment horizontal="center" vertical="center" wrapText="1"/>
      <protection/>
    </xf>
    <xf numFmtId="0" fontId="64" fillId="0" borderId="11" xfId="0" applyFont="1" applyBorder="1" applyAlignment="1">
      <alignment horizontal="center" vertical="center" wrapText="1"/>
    </xf>
    <xf numFmtId="0" fontId="17" fillId="33" borderId="16" xfId="0" applyFont="1" applyFill="1" applyBorder="1" applyAlignment="1" applyProtection="1">
      <alignment horizontal="center" vertical="center" wrapText="1"/>
      <protection/>
    </xf>
    <xf numFmtId="0" fontId="160" fillId="52" borderId="63" xfId="0" applyFont="1" applyFill="1" applyBorder="1" applyAlignment="1">
      <alignment horizontal="center" wrapText="1"/>
    </xf>
    <xf numFmtId="0" fontId="0" fillId="0" borderId="64" xfId="0" applyBorder="1" applyAlignment="1">
      <alignment wrapText="1"/>
    </xf>
    <xf numFmtId="0" fontId="0" fillId="0" borderId="65" xfId="0" applyBorder="1" applyAlignment="1">
      <alignment wrapText="1"/>
    </xf>
    <xf numFmtId="0" fontId="176" fillId="0" borderId="66" xfId="0" applyFont="1" applyBorder="1" applyAlignment="1">
      <alignment horizontal="center" wrapText="1"/>
    </xf>
    <xf numFmtId="0" fontId="176" fillId="0" borderId="67" xfId="0" applyFont="1" applyBorder="1" applyAlignment="1">
      <alignment horizontal="center" wrapText="1"/>
    </xf>
    <xf numFmtId="0" fontId="176" fillId="0" borderId="68" xfId="0" applyFont="1" applyBorder="1" applyAlignment="1">
      <alignment horizontal="center" wrapText="1"/>
    </xf>
    <xf numFmtId="0" fontId="160" fillId="52" borderId="0" xfId="0" applyNumberFormat="1" applyFont="1" applyFill="1" applyAlignment="1">
      <alignment horizontal="center" wrapText="1"/>
    </xf>
    <xf numFmtId="0" fontId="176" fillId="0" borderId="11" xfId="0" applyFont="1" applyBorder="1" applyAlignment="1">
      <alignment horizontal="center" wrapText="1"/>
    </xf>
    <xf numFmtId="0" fontId="190" fillId="5" borderId="69" xfId="0" applyFont="1" applyFill="1" applyBorder="1" applyAlignment="1">
      <alignment horizontal="center" wrapText="1"/>
    </xf>
    <xf numFmtId="0" fontId="191" fillId="5" borderId="69" xfId="0" applyFont="1" applyFill="1" applyBorder="1" applyAlignment="1">
      <alignment horizontal="center" wrapText="1"/>
    </xf>
    <xf numFmtId="9" fontId="190" fillId="0" borderId="70" xfId="0" applyNumberFormat="1" applyFont="1" applyBorder="1" applyAlignment="1">
      <alignment horizontal="center" vertical="center" wrapText="1"/>
    </xf>
    <xf numFmtId="9" fontId="191" fillId="0" borderId="71" xfId="0" applyNumberFormat="1" applyFont="1" applyBorder="1" applyAlignment="1">
      <alignment horizontal="center" vertical="center" wrapText="1"/>
    </xf>
    <xf numFmtId="9" fontId="192" fillId="0" borderId="70" xfId="0" applyNumberFormat="1" applyFont="1" applyBorder="1" applyAlignment="1">
      <alignment horizontal="center" vertical="center" wrapText="1"/>
    </xf>
    <xf numFmtId="9" fontId="193" fillId="0" borderId="71" xfId="0" applyNumberFormat="1" applyFont="1" applyBorder="1" applyAlignment="1">
      <alignment horizontal="center" vertical="center" wrapText="1"/>
    </xf>
    <xf numFmtId="0" fontId="194" fillId="47" borderId="0" xfId="0" applyFont="1" applyFill="1" applyAlignment="1">
      <alignment horizontal="center" wrapText="1"/>
    </xf>
    <xf numFmtId="0" fontId="195" fillId="47" borderId="0" xfId="0" applyFont="1" applyFill="1" applyAlignment="1">
      <alignment horizontal="center" wrapText="1"/>
    </xf>
    <xf numFmtId="0" fontId="167" fillId="52" borderId="0" xfId="0" applyFont="1" applyFill="1" applyAlignment="1">
      <alignment horizontal="center" wrapText="1"/>
    </xf>
    <xf numFmtId="0" fontId="34" fillId="0" borderId="11" xfId="0" applyFont="1" applyBorder="1" applyAlignment="1">
      <alignment horizontal="center" wrapText="1"/>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t" xfId="58"/>
    <cellStyle name="Nötr" xfId="59"/>
    <cellStyle name="Currency" xfId="60"/>
    <cellStyle name="Currency [0]" xfId="61"/>
    <cellStyle name="Toplam" xfId="62"/>
    <cellStyle name="Uyarı Metni" xfId="63"/>
    <cellStyle name="Vurgu1" xfId="64"/>
    <cellStyle name="Vurgu2" xfId="65"/>
    <cellStyle name="Vurgu3" xfId="66"/>
    <cellStyle name="Vurgu4" xfId="67"/>
    <cellStyle name="Vurgu5" xfId="68"/>
    <cellStyle name="Vurgu6" xfId="69"/>
    <cellStyle name="Percent" xfId="70"/>
    <cellStyle name="Yüzde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165449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15735300" y="0"/>
          <a:ext cx="466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247650</xdr:colOff>
      <xdr:row>3</xdr:row>
      <xdr:rowOff>104775</xdr:rowOff>
    </xdr:from>
    <xdr:to>
      <xdr:col>17</xdr:col>
      <xdr:colOff>381000</xdr:colOff>
      <xdr:row>4</xdr:row>
      <xdr:rowOff>371475</xdr:rowOff>
    </xdr:to>
    <xdr:pic>
      <xdr:nvPicPr>
        <xdr:cNvPr id="3" name="Picture 17" descr="Logo son"/>
        <xdr:cNvPicPr preferRelativeResize="1">
          <a:picLocks noChangeAspect="1"/>
        </xdr:cNvPicPr>
      </xdr:nvPicPr>
      <xdr:blipFill>
        <a:blip r:embed="rId1"/>
        <a:stretch>
          <a:fillRect/>
        </a:stretch>
      </xdr:blipFill>
      <xdr:spPr>
        <a:xfrm>
          <a:off x="13058775" y="1409700"/>
          <a:ext cx="24765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94107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7991475" y="0"/>
          <a:ext cx="14382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942975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1158240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796290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7991475" y="0"/>
          <a:ext cx="14382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9553575"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9696450" y="381000"/>
          <a:ext cx="2009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133350</xdr:rowOff>
    </xdr:from>
    <xdr:to>
      <xdr:col>2</xdr:col>
      <xdr:colOff>1781175</xdr:colOff>
      <xdr:row>3</xdr:row>
      <xdr:rowOff>85725</xdr:rowOff>
    </xdr:to>
    <xdr:pic>
      <xdr:nvPicPr>
        <xdr:cNvPr id="1" name="Picture 82" descr="Logo son"/>
        <xdr:cNvPicPr preferRelativeResize="1">
          <a:picLocks noChangeAspect="1"/>
        </xdr:cNvPicPr>
      </xdr:nvPicPr>
      <xdr:blipFill>
        <a:blip r:embed="rId1"/>
        <a:stretch>
          <a:fillRect/>
        </a:stretch>
      </xdr:blipFill>
      <xdr:spPr>
        <a:xfrm>
          <a:off x="285750" y="133350"/>
          <a:ext cx="2009775" cy="552450"/>
        </a:xfrm>
        <a:prstGeom prst="rect">
          <a:avLst/>
        </a:prstGeom>
        <a:noFill/>
        <a:ln w="9525" cmpd="sng">
          <a:noFill/>
        </a:ln>
      </xdr:spPr>
    </xdr:pic>
    <xdr:clientData/>
  </xdr:twoCellAnchor>
  <xdr:twoCellAnchor editAs="oneCell">
    <xdr:from>
      <xdr:col>1</xdr:col>
      <xdr:colOff>85725</xdr:colOff>
      <xdr:row>13</xdr:row>
      <xdr:rowOff>133350</xdr:rowOff>
    </xdr:from>
    <xdr:to>
      <xdr:col>2</xdr:col>
      <xdr:colOff>1781175</xdr:colOff>
      <xdr:row>16</xdr:row>
      <xdr:rowOff>85725</xdr:rowOff>
    </xdr:to>
    <xdr:pic>
      <xdr:nvPicPr>
        <xdr:cNvPr id="2" name="Picture 82" descr="Logo son"/>
        <xdr:cNvPicPr preferRelativeResize="1">
          <a:picLocks noChangeAspect="1"/>
        </xdr:cNvPicPr>
      </xdr:nvPicPr>
      <xdr:blipFill>
        <a:blip r:embed="rId1"/>
        <a:stretch>
          <a:fillRect/>
        </a:stretch>
      </xdr:blipFill>
      <xdr:spPr>
        <a:xfrm>
          <a:off x="285750" y="2828925"/>
          <a:ext cx="2009775" cy="552450"/>
        </a:xfrm>
        <a:prstGeom prst="rect">
          <a:avLst/>
        </a:prstGeom>
        <a:noFill/>
        <a:ln w="9525" cmpd="sng">
          <a:noFill/>
        </a:ln>
      </xdr:spPr>
    </xdr:pic>
    <xdr:clientData/>
  </xdr:twoCellAnchor>
  <xdr:twoCellAnchor editAs="oneCell">
    <xdr:from>
      <xdr:col>1</xdr:col>
      <xdr:colOff>85725</xdr:colOff>
      <xdr:row>26</xdr:row>
      <xdr:rowOff>133350</xdr:rowOff>
    </xdr:from>
    <xdr:to>
      <xdr:col>2</xdr:col>
      <xdr:colOff>1781175</xdr:colOff>
      <xdr:row>29</xdr:row>
      <xdr:rowOff>85725</xdr:rowOff>
    </xdr:to>
    <xdr:pic>
      <xdr:nvPicPr>
        <xdr:cNvPr id="3" name="Picture 82" descr="Logo son"/>
        <xdr:cNvPicPr preferRelativeResize="1">
          <a:picLocks noChangeAspect="1"/>
        </xdr:cNvPicPr>
      </xdr:nvPicPr>
      <xdr:blipFill>
        <a:blip r:embed="rId1"/>
        <a:stretch>
          <a:fillRect/>
        </a:stretch>
      </xdr:blipFill>
      <xdr:spPr>
        <a:xfrm>
          <a:off x="285750" y="5829300"/>
          <a:ext cx="2009775" cy="552450"/>
        </a:xfrm>
        <a:prstGeom prst="rect">
          <a:avLst/>
        </a:prstGeom>
        <a:noFill/>
        <a:ln w="9525" cmpd="sng">
          <a:noFill/>
        </a:ln>
      </xdr:spPr>
    </xdr:pic>
    <xdr:clientData/>
  </xdr:twoCellAnchor>
  <xdr:twoCellAnchor editAs="oneCell">
    <xdr:from>
      <xdr:col>1</xdr:col>
      <xdr:colOff>85725</xdr:colOff>
      <xdr:row>40</xdr:row>
      <xdr:rowOff>133350</xdr:rowOff>
    </xdr:from>
    <xdr:to>
      <xdr:col>2</xdr:col>
      <xdr:colOff>1781175</xdr:colOff>
      <xdr:row>43</xdr:row>
      <xdr:rowOff>85725</xdr:rowOff>
    </xdr:to>
    <xdr:pic>
      <xdr:nvPicPr>
        <xdr:cNvPr id="4" name="Picture 82" descr="Logo son"/>
        <xdr:cNvPicPr preferRelativeResize="1">
          <a:picLocks noChangeAspect="1"/>
        </xdr:cNvPicPr>
      </xdr:nvPicPr>
      <xdr:blipFill>
        <a:blip r:embed="rId1"/>
        <a:stretch>
          <a:fillRect/>
        </a:stretch>
      </xdr:blipFill>
      <xdr:spPr>
        <a:xfrm>
          <a:off x="285750" y="9077325"/>
          <a:ext cx="2009775" cy="552450"/>
        </a:xfrm>
        <a:prstGeom prst="rect">
          <a:avLst/>
        </a:prstGeom>
        <a:noFill/>
        <a:ln w="9525" cmpd="sng">
          <a:noFill/>
        </a:ln>
      </xdr:spPr>
    </xdr:pic>
    <xdr:clientData/>
  </xdr:twoCellAnchor>
  <xdr:twoCellAnchor editAs="oneCell">
    <xdr:from>
      <xdr:col>1</xdr:col>
      <xdr:colOff>85725</xdr:colOff>
      <xdr:row>54</xdr:row>
      <xdr:rowOff>133350</xdr:rowOff>
    </xdr:from>
    <xdr:to>
      <xdr:col>2</xdr:col>
      <xdr:colOff>1781175</xdr:colOff>
      <xdr:row>57</xdr:row>
      <xdr:rowOff>85725</xdr:rowOff>
    </xdr:to>
    <xdr:pic>
      <xdr:nvPicPr>
        <xdr:cNvPr id="5" name="Picture 82" descr="Logo son"/>
        <xdr:cNvPicPr preferRelativeResize="1">
          <a:picLocks noChangeAspect="1"/>
        </xdr:cNvPicPr>
      </xdr:nvPicPr>
      <xdr:blipFill>
        <a:blip r:embed="rId1"/>
        <a:stretch>
          <a:fillRect/>
        </a:stretch>
      </xdr:blipFill>
      <xdr:spPr>
        <a:xfrm>
          <a:off x="285750" y="12325350"/>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T99"/>
  <sheetViews>
    <sheetView tabSelected="1" zoomScale="60" zoomScaleNormal="60" zoomScalePageLayoutView="0" workbookViewId="0" topLeftCell="A1">
      <pane xSplit="18" ySplit="10" topLeftCell="S11" activePane="bottomRight" state="frozen"/>
      <selection pane="topLeft" activeCell="A1" sqref="A1"/>
      <selection pane="topRight" activeCell="J1" sqref="J1"/>
      <selection pane="bottomLeft" activeCell="A12" sqref="A12"/>
      <selection pane="bottomRight" activeCell="B10" sqref="B10:I10"/>
    </sheetView>
  </sheetViews>
  <sheetFormatPr defaultColWidth="65.7109375" defaultRowHeight="12.75"/>
  <cols>
    <col min="1" max="1" width="5.140625" style="11" bestFit="1" customWidth="1"/>
    <col min="2" max="2" width="2.57421875" style="12" customWidth="1"/>
    <col min="3" max="3" width="2.57421875" style="12" bestFit="1" customWidth="1"/>
    <col min="4" max="4" width="2.00390625" style="12" bestFit="1" customWidth="1"/>
    <col min="5" max="6" width="1.8515625" style="12" bestFit="1" customWidth="1"/>
    <col min="7" max="7" width="1.7109375" style="12" bestFit="1" customWidth="1"/>
    <col min="8" max="8" width="2.00390625" style="12" bestFit="1" customWidth="1"/>
    <col min="9" max="9" width="1.7109375" style="13" bestFit="1" customWidth="1"/>
    <col min="10" max="10" width="72.57421875" style="14" bestFit="1" customWidth="1"/>
    <col min="11" max="11" width="26.8515625" style="14" bestFit="1" customWidth="1"/>
    <col min="12" max="12" width="18.28125" style="14" bestFit="1" customWidth="1"/>
    <col min="13" max="13" width="43.00390625" style="14" bestFit="1" customWidth="1"/>
    <col min="14" max="14" width="10.00390625" style="15" customWidth="1"/>
    <col min="15" max="15" width="20.421875" style="12" bestFit="1" customWidth="1"/>
    <col min="16" max="16" width="6.00390625" style="15" customWidth="1"/>
    <col min="17" max="17" width="8.7109375" style="16" customWidth="1"/>
    <col min="18" max="18" width="8.7109375" style="17" customWidth="1"/>
    <col min="19" max="19" width="10.57421875" style="16" hidden="1" customWidth="1"/>
    <col min="20" max="20" width="6.8515625" style="17" hidden="1" customWidth="1"/>
    <col min="21" max="21" width="10.57421875" style="16" hidden="1" customWidth="1"/>
    <col min="22" max="22" width="6.8515625" style="17" hidden="1" customWidth="1"/>
    <col min="23" max="23" width="10.57421875" style="18" hidden="1" customWidth="1"/>
    <col min="24" max="24" width="6.8515625" style="19" hidden="1" customWidth="1"/>
    <col min="25" max="25" width="15.140625" style="44" hidden="1" customWidth="1"/>
    <col min="26" max="26" width="10.00390625" style="45" hidden="1" customWidth="1"/>
    <col min="27" max="27" width="10.7109375" style="20" hidden="1" customWidth="1"/>
    <col min="28" max="28" width="7.57421875" style="22" hidden="1" customWidth="1"/>
    <col min="29" max="29" width="12.140625" style="22" hidden="1" customWidth="1"/>
    <col min="30" max="30" width="7.7109375" style="23" hidden="1" customWidth="1"/>
    <col min="31" max="31" width="12.140625" style="22" bestFit="1" customWidth="1"/>
    <col min="32" max="32" width="8.7109375" style="100" bestFit="1" customWidth="1"/>
    <col min="33" max="33" width="15.28125" style="28" bestFit="1" customWidth="1"/>
    <col min="34" max="34" width="9.421875" style="26" bestFit="1" customWidth="1"/>
    <col min="35" max="35" width="7.28125" style="30" bestFit="1" customWidth="1"/>
    <col min="36" max="36" width="7.8515625" style="30" bestFit="1" customWidth="1"/>
    <col min="37" max="37" width="6.7109375" style="24" bestFit="1" customWidth="1"/>
    <col min="38" max="38" width="8.140625" style="29" bestFit="1" customWidth="1"/>
    <col min="39" max="39" width="13.28125" style="16" bestFit="1" customWidth="1"/>
    <col min="40" max="40" width="8.421875" style="17" bestFit="1" customWidth="1"/>
    <col min="41" max="41" width="18.8515625" style="16" bestFit="1" customWidth="1"/>
    <col min="42" max="42" width="13.140625" style="14" bestFit="1" customWidth="1"/>
    <col min="43" max="43" width="9.57421875" style="14" bestFit="1" customWidth="1"/>
    <col min="44" max="44" width="9.28125" style="14" customWidth="1"/>
    <col min="45" max="45" width="6.421875" style="14" bestFit="1" customWidth="1"/>
    <col min="46" max="46" width="4.421875" style="14" bestFit="1" customWidth="1"/>
    <col min="47" max="16384" width="65.7109375" style="14" customWidth="1"/>
  </cols>
  <sheetData>
    <row r="1" spans="1:45" s="2" customFormat="1" ht="49.5">
      <c r="A1" s="702" t="s">
        <v>435</v>
      </c>
      <c r="B1" s="703"/>
      <c r="C1" s="703"/>
      <c r="D1" s="703"/>
      <c r="E1" s="703"/>
      <c r="F1" s="703"/>
      <c r="G1" s="703"/>
      <c r="H1" s="703"/>
      <c r="I1" s="703"/>
      <c r="J1" s="703"/>
      <c r="K1" s="703"/>
      <c r="L1" s="703"/>
      <c r="M1" s="703"/>
      <c r="N1" s="703"/>
      <c r="O1" s="703"/>
      <c r="P1" s="703"/>
      <c r="Q1" s="703"/>
      <c r="R1" s="703"/>
      <c r="S1" s="41"/>
      <c r="T1" s="43"/>
      <c r="U1" s="41"/>
      <c r="V1" s="43"/>
      <c r="W1" s="41"/>
      <c r="X1" s="689" t="s">
        <v>225</v>
      </c>
      <c r="Y1" s="690"/>
      <c r="Z1" s="690"/>
      <c r="AA1" s="690"/>
      <c r="AB1" s="690"/>
      <c r="AC1" s="690"/>
      <c r="AD1" s="690"/>
      <c r="AE1" s="690"/>
      <c r="AF1" s="690"/>
      <c r="AG1" s="690"/>
      <c r="AH1" s="690"/>
      <c r="AI1" s="690"/>
      <c r="AJ1" s="690"/>
      <c r="AK1" s="690"/>
      <c r="AL1" s="690"/>
      <c r="AM1" s="690"/>
      <c r="AN1" s="690"/>
      <c r="AO1" s="690"/>
      <c r="AP1" s="690"/>
      <c r="AQ1" s="691"/>
      <c r="AR1" s="691"/>
      <c r="AS1" s="691"/>
    </row>
    <row r="2" spans="1:45" s="2" customFormat="1" ht="26.25">
      <c r="A2" s="704" t="s">
        <v>226</v>
      </c>
      <c r="B2" s="705"/>
      <c r="C2" s="705"/>
      <c r="D2" s="705"/>
      <c r="E2" s="705"/>
      <c r="F2" s="705"/>
      <c r="G2" s="705"/>
      <c r="H2" s="705"/>
      <c r="I2" s="705"/>
      <c r="J2" s="705"/>
      <c r="K2" s="705"/>
      <c r="L2" s="705"/>
      <c r="M2" s="705"/>
      <c r="N2" s="705"/>
      <c r="O2" s="705"/>
      <c r="P2" s="705"/>
      <c r="Q2" s="705"/>
      <c r="R2" s="705"/>
      <c r="S2" s="42"/>
      <c r="V2" s="695"/>
      <c r="W2" s="686"/>
      <c r="X2" s="686"/>
      <c r="Y2" s="681"/>
      <c r="Z2" s="696"/>
      <c r="AA2" s="696"/>
      <c r="AB2" s="696"/>
      <c r="AC2" s="696"/>
      <c r="AD2" s="696"/>
      <c r="AE2" s="27"/>
      <c r="AF2" s="25"/>
      <c r="AG2" s="34"/>
      <c r="AH2" s="35"/>
      <c r="AI2" s="36"/>
      <c r="AJ2" s="36"/>
      <c r="AK2" s="35"/>
      <c r="AL2" s="34"/>
      <c r="AM2" s="112"/>
      <c r="AN2" s="112"/>
      <c r="AO2" s="679"/>
      <c r="AP2" s="679"/>
      <c r="AQ2" s="677"/>
      <c r="AR2" s="677"/>
      <c r="AS2" s="678"/>
    </row>
    <row r="3" spans="1:45" s="2" customFormat="1" ht="27" thickBot="1">
      <c r="A3" s="706" t="s">
        <v>46</v>
      </c>
      <c r="B3" s="707"/>
      <c r="C3" s="707"/>
      <c r="D3" s="707"/>
      <c r="E3" s="707"/>
      <c r="F3" s="707"/>
      <c r="G3" s="707"/>
      <c r="H3" s="707"/>
      <c r="I3" s="707"/>
      <c r="J3" s="707"/>
      <c r="K3" s="707"/>
      <c r="L3" s="707"/>
      <c r="M3" s="707"/>
      <c r="N3" s="707"/>
      <c r="O3" s="707"/>
      <c r="P3" s="707"/>
      <c r="Q3" s="707"/>
      <c r="R3" s="707"/>
      <c r="S3" s="75"/>
      <c r="V3" s="695"/>
      <c r="W3" s="678"/>
      <c r="X3" s="686"/>
      <c r="Y3" s="681"/>
      <c r="Z3" s="696"/>
      <c r="AA3" s="696"/>
      <c r="AB3" s="696"/>
      <c r="AC3" s="696"/>
      <c r="AD3" s="696"/>
      <c r="AE3" s="76"/>
      <c r="AF3" s="77"/>
      <c r="AG3" s="31"/>
      <c r="AH3" s="32"/>
      <c r="AI3" s="31"/>
      <c r="AJ3" s="31"/>
      <c r="AK3" s="33"/>
      <c r="AL3" s="31"/>
      <c r="AM3" s="112"/>
      <c r="AN3" s="112"/>
      <c r="AO3" s="679"/>
      <c r="AP3" s="679"/>
      <c r="AQ3" s="678"/>
      <c r="AR3" s="678"/>
      <c r="AS3" s="678"/>
    </row>
    <row r="4" spans="1:45" s="2" customFormat="1" ht="32.25">
      <c r="A4" s="692" t="s">
        <v>436</v>
      </c>
      <c r="B4" s="693"/>
      <c r="C4" s="693"/>
      <c r="D4" s="693"/>
      <c r="E4" s="693"/>
      <c r="F4" s="693"/>
      <c r="G4" s="693"/>
      <c r="H4" s="693"/>
      <c r="I4" s="693"/>
      <c r="J4" s="693"/>
      <c r="K4" s="693"/>
      <c r="L4" s="693"/>
      <c r="M4" s="693"/>
      <c r="N4" s="693"/>
      <c r="O4" s="78"/>
      <c r="P4" s="79"/>
      <c r="Q4" s="79"/>
      <c r="R4" s="79"/>
      <c r="S4" s="80"/>
      <c r="V4" s="695"/>
      <c r="W4" s="686"/>
      <c r="X4" s="686"/>
      <c r="Y4" s="681"/>
      <c r="Z4" s="682"/>
      <c r="AA4" s="682"/>
      <c r="AB4" s="682"/>
      <c r="AC4" s="682"/>
      <c r="AD4" s="682"/>
      <c r="AE4" s="81"/>
      <c r="AF4" s="82"/>
      <c r="AG4" s="683"/>
      <c r="AH4" s="684"/>
      <c r="AI4" s="684"/>
      <c r="AJ4" s="684"/>
      <c r="AK4" s="684"/>
      <c r="AL4" s="83"/>
      <c r="AM4" s="112"/>
      <c r="AN4" s="112"/>
      <c r="AO4" s="679"/>
      <c r="AP4" s="678"/>
      <c r="AQ4" s="677"/>
      <c r="AR4" s="677"/>
      <c r="AS4" s="678"/>
    </row>
    <row r="5" spans="1:45" s="2" customFormat="1" ht="33" thickBot="1">
      <c r="A5" s="694"/>
      <c r="B5" s="694"/>
      <c r="C5" s="694"/>
      <c r="D5" s="694"/>
      <c r="E5" s="694"/>
      <c r="F5" s="694"/>
      <c r="G5" s="694"/>
      <c r="H5" s="694"/>
      <c r="I5" s="694"/>
      <c r="J5" s="694"/>
      <c r="K5" s="694"/>
      <c r="L5" s="694"/>
      <c r="M5" s="694"/>
      <c r="N5" s="694"/>
      <c r="O5" s="78"/>
      <c r="P5" s="79"/>
      <c r="Q5" s="79"/>
      <c r="R5" s="79"/>
      <c r="S5" s="80"/>
      <c r="V5" s="695"/>
      <c r="W5" s="686"/>
      <c r="X5" s="686"/>
      <c r="Y5" s="681"/>
      <c r="Z5" s="682"/>
      <c r="AA5" s="682"/>
      <c r="AB5" s="682"/>
      <c r="AC5" s="682"/>
      <c r="AD5" s="682"/>
      <c r="AE5" s="81"/>
      <c r="AF5" s="82"/>
      <c r="AG5" s="37"/>
      <c r="AH5" s="84"/>
      <c r="AI5" s="84"/>
      <c r="AJ5" s="84"/>
      <c r="AK5" s="84"/>
      <c r="AL5" s="84"/>
      <c r="AM5" s="112"/>
      <c r="AN5" s="112"/>
      <c r="AO5" s="678"/>
      <c r="AP5" s="678"/>
      <c r="AQ5" s="678"/>
      <c r="AR5" s="678"/>
      <c r="AS5" s="678"/>
    </row>
    <row r="6" spans="1:45" s="5" customFormat="1" ht="15.75" thickBot="1">
      <c r="A6" s="38"/>
      <c r="B6" s="46"/>
      <c r="C6" s="46"/>
      <c r="D6" s="46"/>
      <c r="E6" s="46"/>
      <c r="F6" s="46"/>
      <c r="G6" s="46"/>
      <c r="H6" s="46"/>
      <c r="I6" s="46"/>
      <c r="J6" s="680" t="s">
        <v>227</v>
      </c>
      <c r="K6" s="680"/>
      <c r="L6" s="680"/>
      <c r="M6" s="680"/>
      <c r="N6" s="680"/>
      <c r="O6" s="680"/>
      <c r="P6" s="680"/>
      <c r="Q6" s="680" t="s">
        <v>228</v>
      </c>
      <c r="R6" s="680"/>
      <c r="S6" s="680" t="s">
        <v>229</v>
      </c>
      <c r="T6" s="680"/>
      <c r="U6" s="680"/>
      <c r="V6" s="680"/>
      <c r="W6" s="680"/>
      <c r="X6" s="680"/>
      <c r="Y6" s="680"/>
      <c r="Z6" s="680"/>
      <c r="AA6" s="680"/>
      <c r="AB6" s="680"/>
      <c r="AC6" s="680"/>
      <c r="AD6" s="680"/>
      <c r="AE6" s="680" t="s">
        <v>230</v>
      </c>
      <c r="AF6" s="680"/>
      <c r="AG6" s="680" t="s">
        <v>231</v>
      </c>
      <c r="AH6" s="680"/>
      <c r="AI6" s="680" t="s">
        <v>232</v>
      </c>
      <c r="AJ6" s="680"/>
      <c r="AK6" s="680" t="s">
        <v>233</v>
      </c>
      <c r="AL6" s="680"/>
      <c r="AM6" s="46"/>
      <c r="AN6" s="46"/>
      <c r="AO6" s="680" t="s">
        <v>234</v>
      </c>
      <c r="AP6" s="680"/>
      <c r="AQ6" s="680"/>
      <c r="AR6" s="711"/>
      <c r="AS6" s="712"/>
    </row>
    <row r="7" spans="1:45" s="6" customFormat="1" ht="12.75">
      <c r="A7" s="39"/>
      <c r="B7" s="47"/>
      <c r="C7" s="47"/>
      <c r="D7" s="47"/>
      <c r="E7" s="47"/>
      <c r="F7" s="47"/>
      <c r="G7" s="47"/>
      <c r="H7" s="47"/>
      <c r="I7" s="47"/>
      <c r="J7" s="48"/>
      <c r="K7" s="48"/>
      <c r="L7" s="48"/>
      <c r="M7" s="48"/>
      <c r="N7" s="49" t="s">
        <v>15</v>
      </c>
      <c r="O7" s="48"/>
      <c r="P7" s="48" t="s">
        <v>18</v>
      </c>
      <c r="Q7" s="48" t="s">
        <v>18</v>
      </c>
      <c r="R7" s="48" t="s">
        <v>20</v>
      </c>
      <c r="S7" s="675" t="s">
        <v>2</v>
      </c>
      <c r="T7" s="676"/>
      <c r="U7" s="675" t="s">
        <v>3</v>
      </c>
      <c r="V7" s="676"/>
      <c r="W7" s="675" t="s">
        <v>4</v>
      </c>
      <c r="X7" s="676"/>
      <c r="Y7" s="672" t="s">
        <v>11</v>
      </c>
      <c r="Z7" s="672"/>
      <c r="AA7" s="672" t="s">
        <v>30</v>
      </c>
      <c r="AB7" s="672"/>
      <c r="AC7" s="672" t="s">
        <v>0</v>
      </c>
      <c r="AD7" s="672"/>
      <c r="AE7" s="672"/>
      <c r="AF7" s="672"/>
      <c r="AG7" s="685"/>
      <c r="AH7" s="685"/>
      <c r="AI7" s="672" t="s">
        <v>41</v>
      </c>
      <c r="AJ7" s="672"/>
      <c r="AK7" s="672" t="s">
        <v>44</v>
      </c>
      <c r="AL7" s="672"/>
      <c r="AM7" s="672" t="s">
        <v>50</v>
      </c>
      <c r="AN7" s="672"/>
      <c r="AO7" s="672"/>
      <c r="AP7" s="672"/>
      <c r="AQ7" s="50" t="s">
        <v>30</v>
      </c>
      <c r="AR7" s="113" t="s">
        <v>297</v>
      </c>
      <c r="AS7" s="51" t="s">
        <v>297</v>
      </c>
    </row>
    <row r="8" spans="1:45" s="6" customFormat="1" ht="13.5" thickBot="1">
      <c r="A8" s="40"/>
      <c r="B8" s="665" t="s">
        <v>279</v>
      </c>
      <c r="C8" s="666"/>
      <c r="D8" s="666"/>
      <c r="E8" s="666"/>
      <c r="F8" s="666"/>
      <c r="G8" s="666"/>
      <c r="H8" s="666"/>
      <c r="I8" s="667"/>
      <c r="J8" s="52" t="s">
        <v>64</v>
      </c>
      <c r="K8" s="52" t="s">
        <v>76</v>
      </c>
      <c r="L8" s="52" t="s">
        <v>98</v>
      </c>
      <c r="M8" s="52" t="s">
        <v>62</v>
      </c>
      <c r="N8" s="53" t="s">
        <v>16</v>
      </c>
      <c r="O8" s="54" t="s">
        <v>1</v>
      </c>
      <c r="P8" s="54" t="s">
        <v>17</v>
      </c>
      <c r="Q8" s="54" t="s">
        <v>19</v>
      </c>
      <c r="R8" s="54" t="s">
        <v>15</v>
      </c>
      <c r="S8" s="55" t="s">
        <v>7</v>
      </c>
      <c r="T8" s="56" t="s">
        <v>6</v>
      </c>
      <c r="U8" s="55" t="s">
        <v>7</v>
      </c>
      <c r="V8" s="56" t="s">
        <v>6</v>
      </c>
      <c r="W8" s="55" t="s">
        <v>7</v>
      </c>
      <c r="X8" s="56" t="s">
        <v>6</v>
      </c>
      <c r="Y8" s="55" t="s">
        <v>7</v>
      </c>
      <c r="Z8" s="56" t="s">
        <v>6</v>
      </c>
      <c r="AA8" s="56" t="s">
        <v>42</v>
      </c>
      <c r="AB8" s="55" t="s">
        <v>31</v>
      </c>
      <c r="AC8" s="55" t="s">
        <v>7</v>
      </c>
      <c r="AD8" s="57" t="s">
        <v>5</v>
      </c>
      <c r="AE8" s="55" t="s">
        <v>7</v>
      </c>
      <c r="AF8" s="56" t="s">
        <v>6</v>
      </c>
      <c r="AG8" s="58" t="s">
        <v>7</v>
      </c>
      <c r="AH8" s="59" t="s">
        <v>6</v>
      </c>
      <c r="AI8" s="57" t="s">
        <v>6</v>
      </c>
      <c r="AJ8" s="57" t="s">
        <v>6</v>
      </c>
      <c r="AK8" s="56" t="s">
        <v>6</v>
      </c>
      <c r="AL8" s="55" t="s">
        <v>31</v>
      </c>
      <c r="AM8" s="55" t="s">
        <v>7</v>
      </c>
      <c r="AN8" s="57" t="s">
        <v>5</v>
      </c>
      <c r="AO8" s="55" t="s">
        <v>7</v>
      </c>
      <c r="AP8" s="56" t="s">
        <v>6</v>
      </c>
      <c r="AQ8" s="55" t="s">
        <v>31</v>
      </c>
      <c r="AR8" s="114" t="s">
        <v>301</v>
      </c>
      <c r="AS8" s="60" t="s">
        <v>298</v>
      </c>
    </row>
    <row r="9" spans="1:45" s="9" customFormat="1" ht="12.75">
      <c r="A9" s="85"/>
      <c r="B9" s="86"/>
      <c r="C9" s="86"/>
      <c r="D9" s="86"/>
      <c r="E9" s="86"/>
      <c r="F9" s="86"/>
      <c r="G9" s="86"/>
      <c r="H9" s="86"/>
      <c r="I9" s="86"/>
      <c r="J9" s="86"/>
      <c r="K9" s="86"/>
      <c r="L9" s="86"/>
      <c r="M9" s="86"/>
      <c r="N9" s="87" t="s">
        <v>22</v>
      </c>
      <c r="O9" s="86"/>
      <c r="P9" s="86" t="s">
        <v>25</v>
      </c>
      <c r="Q9" s="88" t="s">
        <v>27</v>
      </c>
      <c r="R9" s="88" t="s">
        <v>28</v>
      </c>
      <c r="S9" s="675" t="s">
        <v>32</v>
      </c>
      <c r="T9" s="676"/>
      <c r="U9" s="675" t="s">
        <v>33</v>
      </c>
      <c r="V9" s="676"/>
      <c r="W9" s="675" t="s">
        <v>34</v>
      </c>
      <c r="X9" s="676"/>
      <c r="Y9" s="673" t="s">
        <v>43</v>
      </c>
      <c r="Z9" s="673"/>
      <c r="AA9" s="673" t="s">
        <v>36</v>
      </c>
      <c r="AB9" s="673"/>
      <c r="AC9" s="673" t="s">
        <v>380</v>
      </c>
      <c r="AD9" s="673"/>
      <c r="AE9" s="89"/>
      <c r="AF9" s="90"/>
      <c r="AG9" s="91"/>
      <c r="AH9" s="92"/>
      <c r="AI9" s="673" t="s">
        <v>40</v>
      </c>
      <c r="AJ9" s="673"/>
      <c r="AK9" s="673" t="s">
        <v>45</v>
      </c>
      <c r="AL9" s="673"/>
      <c r="AM9" s="673" t="s">
        <v>51</v>
      </c>
      <c r="AN9" s="673"/>
      <c r="AO9" s="89"/>
      <c r="AP9" s="90"/>
      <c r="AQ9" s="93" t="s">
        <v>36</v>
      </c>
      <c r="AR9" s="115" t="s">
        <v>302</v>
      </c>
      <c r="AS9" s="94" t="s">
        <v>299</v>
      </c>
    </row>
    <row r="10" spans="1:45" s="9" customFormat="1" ht="13.5" thickBot="1">
      <c r="A10" s="95"/>
      <c r="B10" s="662" t="s">
        <v>278</v>
      </c>
      <c r="C10" s="663"/>
      <c r="D10" s="663"/>
      <c r="E10" s="663"/>
      <c r="F10" s="663"/>
      <c r="G10" s="663"/>
      <c r="H10" s="663"/>
      <c r="I10" s="664"/>
      <c r="J10" s="116" t="s">
        <v>61</v>
      </c>
      <c r="K10" s="116" t="s">
        <v>75</v>
      </c>
      <c r="L10" s="116" t="s">
        <v>78</v>
      </c>
      <c r="M10" s="116" t="s">
        <v>63</v>
      </c>
      <c r="N10" s="117" t="s">
        <v>23</v>
      </c>
      <c r="O10" s="118" t="s">
        <v>24</v>
      </c>
      <c r="P10" s="118" t="s">
        <v>26</v>
      </c>
      <c r="Q10" s="119" t="s">
        <v>26</v>
      </c>
      <c r="R10" s="119" t="s">
        <v>29</v>
      </c>
      <c r="S10" s="120" t="s">
        <v>38</v>
      </c>
      <c r="T10" s="121" t="s">
        <v>35</v>
      </c>
      <c r="U10" s="120" t="s">
        <v>38</v>
      </c>
      <c r="V10" s="121" t="s">
        <v>35</v>
      </c>
      <c r="W10" s="120" t="s">
        <v>38</v>
      </c>
      <c r="X10" s="121" t="s">
        <v>35</v>
      </c>
      <c r="Y10" s="122" t="s">
        <v>38</v>
      </c>
      <c r="Z10" s="123" t="s">
        <v>35</v>
      </c>
      <c r="AA10" s="123" t="s">
        <v>35</v>
      </c>
      <c r="AB10" s="122" t="s">
        <v>37</v>
      </c>
      <c r="AC10" s="120" t="s">
        <v>38</v>
      </c>
      <c r="AD10" s="124" t="s">
        <v>39</v>
      </c>
      <c r="AE10" s="122" t="s">
        <v>38</v>
      </c>
      <c r="AF10" s="123" t="s">
        <v>35</v>
      </c>
      <c r="AG10" s="125" t="s">
        <v>38</v>
      </c>
      <c r="AH10" s="126" t="s">
        <v>35</v>
      </c>
      <c r="AI10" s="124" t="s">
        <v>35</v>
      </c>
      <c r="AJ10" s="124" t="s">
        <v>35</v>
      </c>
      <c r="AK10" s="123" t="s">
        <v>35</v>
      </c>
      <c r="AL10" s="122" t="s">
        <v>37</v>
      </c>
      <c r="AM10" s="127" t="s">
        <v>38</v>
      </c>
      <c r="AN10" s="124" t="s">
        <v>39</v>
      </c>
      <c r="AO10" s="120" t="s">
        <v>38</v>
      </c>
      <c r="AP10" s="128" t="s">
        <v>37</v>
      </c>
      <c r="AQ10" s="122" t="s">
        <v>37</v>
      </c>
      <c r="AR10" s="129" t="s">
        <v>303</v>
      </c>
      <c r="AS10" s="130" t="s">
        <v>300</v>
      </c>
    </row>
    <row r="11" spans="1:46" s="10" customFormat="1" ht="15" customHeight="1">
      <c r="A11" s="538">
        <v>1</v>
      </c>
      <c r="B11" s="525"/>
      <c r="C11" s="528"/>
      <c r="D11" s="529" t="s">
        <v>223</v>
      </c>
      <c r="E11" s="531">
        <v>3</v>
      </c>
      <c r="F11" s="532">
        <v>2</v>
      </c>
      <c r="G11" s="528"/>
      <c r="H11" s="533" t="s">
        <v>55</v>
      </c>
      <c r="I11" s="530"/>
      <c r="J11" s="300" t="s">
        <v>383</v>
      </c>
      <c r="K11" s="63" t="s">
        <v>217</v>
      </c>
      <c r="L11" s="303" t="s">
        <v>94</v>
      </c>
      <c r="M11" s="301" t="s">
        <v>384</v>
      </c>
      <c r="N11" s="535">
        <v>40921</v>
      </c>
      <c r="O11" s="64" t="s">
        <v>12</v>
      </c>
      <c r="P11" s="315">
        <v>101</v>
      </c>
      <c r="Q11" s="316">
        <v>188</v>
      </c>
      <c r="R11" s="316">
        <v>2</v>
      </c>
      <c r="S11" s="317">
        <v>334552</v>
      </c>
      <c r="T11" s="497">
        <v>29703</v>
      </c>
      <c r="U11" s="498">
        <v>427742</v>
      </c>
      <c r="V11" s="497">
        <v>37463</v>
      </c>
      <c r="W11" s="498">
        <v>539517</v>
      </c>
      <c r="X11" s="497">
        <v>47193</v>
      </c>
      <c r="Y11" s="490">
        <f aca="true" t="shared" si="0" ref="Y11:Y42">SUM(S11+U11+W11)</f>
        <v>1301811</v>
      </c>
      <c r="Z11" s="491">
        <f aca="true" t="shared" si="1" ref="Z11:Z42">T11+V11+X11</f>
        <v>114359</v>
      </c>
      <c r="AA11" s="318">
        <f aca="true" t="shared" si="2" ref="AA11:AA37">IF(Y11&lt;&gt;0,Z11/Q11,"")</f>
        <v>608.2925531914893</v>
      </c>
      <c r="AB11" s="319">
        <f aca="true" t="shared" si="3" ref="AB11:AB37">IF(Y11&lt;&gt;0,Y11/Z11,"")</f>
        <v>11.383546550774316</v>
      </c>
      <c r="AC11" s="320">
        <v>1556488</v>
      </c>
      <c r="AD11" s="321">
        <f aca="true" t="shared" si="4" ref="AD11:AD37">IF(AC11&lt;&gt;0,-(AC11-Y11)/AC11,"")</f>
        <v>-0.16362284836118235</v>
      </c>
      <c r="AE11" s="322">
        <f aca="true" t="shared" si="5" ref="AE11:AE42">AG11-Y11</f>
        <v>1212955</v>
      </c>
      <c r="AF11" s="318">
        <f aca="true" t="shared" si="6" ref="AF11:AF42">AH11-Z11</f>
        <v>122987</v>
      </c>
      <c r="AG11" s="557">
        <v>2514766</v>
      </c>
      <c r="AH11" s="558">
        <v>237346</v>
      </c>
      <c r="AI11" s="321">
        <f aca="true" t="shared" si="7" ref="AI11:AI42">Z11*1/AH11</f>
        <v>0.48182400377507945</v>
      </c>
      <c r="AJ11" s="321">
        <f aca="true" t="shared" si="8" ref="AJ11:AJ42">AF11*1/AH11</f>
        <v>0.5181759962249206</v>
      </c>
      <c r="AK11" s="318">
        <f aca="true" t="shared" si="9" ref="AK11:AK42">AH11/Q11</f>
        <v>1262.4787234042553</v>
      </c>
      <c r="AL11" s="319">
        <f aca="true" t="shared" si="10" ref="AL11:AL42">AG11/AH11</f>
        <v>10.595358674677476</v>
      </c>
      <c r="AM11" s="323">
        <v>2186377</v>
      </c>
      <c r="AN11" s="321">
        <f aca="true" t="shared" si="11" ref="AN11:AN42">IF(AM11&lt;&gt;0,-(AM11-AG11)/AM11,"")</f>
        <v>0.1501977929698309</v>
      </c>
      <c r="AO11" s="466">
        <v>4701341</v>
      </c>
      <c r="AP11" s="467">
        <v>446529</v>
      </c>
      <c r="AQ11" s="324">
        <f aca="true" t="shared" si="12" ref="AQ11:AQ42">AO11/AP11</f>
        <v>10.528635318198818</v>
      </c>
      <c r="AR11" s="537">
        <v>40928</v>
      </c>
      <c r="AS11" s="492">
        <v>1</v>
      </c>
      <c r="AT11" s="62"/>
    </row>
    <row r="12" spans="1:46" s="10" customFormat="1" ht="15" customHeight="1">
      <c r="A12" s="539" t="s">
        <v>477</v>
      </c>
      <c r="B12" s="544" t="s">
        <v>56</v>
      </c>
      <c r="C12" s="470"/>
      <c r="D12" s="482" t="s">
        <v>223</v>
      </c>
      <c r="E12" s="477">
        <v>3</v>
      </c>
      <c r="F12" s="470"/>
      <c r="G12" s="481" t="s">
        <v>292</v>
      </c>
      <c r="H12" s="475" t="s">
        <v>55</v>
      </c>
      <c r="I12" s="472"/>
      <c r="J12" s="256" t="s">
        <v>431</v>
      </c>
      <c r="K12" s="65" t="s">
        <v>433</v>
      </c>
      <c r="L12" s="66" t="s">
        <v>95</v>
      </c>
      <c r="M12" s="68" t="s">
        <v>432</v>
      </c>
      <c r="N12" s="268">
        <v>40928</v>
      </c>
      <c r="O12" s="68" t="s">
        <v>10</v>
      </c>
      <c r="P12" s="325">
        <v>202</v>
      </c>
      <c r="Q12" s="344">
        <v>202</v>
      </c>
      <c r="R12" s="344">
        <v>1</v>
      </c>
      <c r="S12" s="499">
        <v>255963</v>
      </c>
      <c r="T12" s="500">
        <v>24141</v>
      </c>
      <c r="U12" s="499">
        <v>394972</v>
      </c>
      <c r="V12" s="500">
        <v>36220</v>
      </c>
      <c r="W12" s="499">
        <v>518925</v>
      </c>
      <c r="X12" s="500">
        <v>47797</v>
      </c>
      <c r="Y12" s="486">
        <f t="shared" si="0"/>
        <v>1169860</v>
      </c>
      <c r="Z12" s="487">
        <f t="shared" si="1"/>
        <v>108158</v>
      </c>
      <c r="AA12" s="328">
        <f t="shared" si="2"/>
        <v>535.4356435643564</v>
      </c>
      <c r="AB12" s="329">
        <f t="shared" si="3"/>
        <v>10.816213317553949</v>
      </c>
      <c r="AC12" s="330">
        <v>0</v>
      </c>
      <c r="AD12" s="331">
        <f t="shared" si="4"/>
      </c>
      <c r="AE12" s="332">
        <f t="shared" si="5"/>
        <v>1189937</v>
      </c>
      <c r="AF12" s="328">
        <f t="shared" si="6"/>
        <v>124336</v>
      </c>
      <c r="AG12" s="555">
        <v>2359797</v>
      </c>
      <c r="AH12" s="556">
        <v>232494</v>
      </c>
      <c r="AI12" s="331">
        <f t="shared" si="7"/>
        <v>0.46520770428484176</v>
      </c>
      <c r="AJ12" s="331">
        <f t="shared" si="8"/>
        <v>0.5347922957151583</v>
      </c>
      <c r="AK12" s="328">
        <f t="shared" si="9"/>
        <v>1150.960396039604</v>
      </c>
      <c r="AL12" s="329">
        <f t="shared" si="10"/>
        <v>10.149926449714831</v>
      </c>
      <c r="AM12" s="333"/>
      <c r="AN12" s="331">
        <f t="shared" si="11"/>
      </c>
      <c r="AO12" s="341">
        <v>2359797</v>
      </c>
      <c r="AP12" s="342">
        <v>232494</v>
      </c>
      <c r="AQ12" s="337">
        <f t="shared" si="12"/>
        <v>10.149926449714831</v>
      </c>
      <c r="AR12" s="266">
        <v>40928</v>
      </c>
      <c r="AS12" s="493" t="s">
        <v>349</v>
      </c>
      <c r="AT12" s="62"/>
    </row>
    <row r="13" spans="1:46" s="10" customFormat="1" ht="15" customHeight="1">
      <c r="A13" s="539" t="s">
        <v>478</v>
      </c>
      <c r="B13" s="526"/>
      <c r="C13" s="473" t="s">
        <v>261</v>
      </c>
      <c r="D13" s="470"/>
      <c r="E13" s="470"/>
      <c r="F13" s="470"/>
      <c r="G13" s="470"/>
      <c r="H13" s="543"/>
      <c r="I13" s="474" t="s">
        <v>54</v>
      </c>
      <c r="J13" s="238" t="s">
        <v>141</v>
      </c>
      <c r="K13" s="65" t="s">
        <v>142</v>
      </c>
      <c r="L13" s="70"/>
      <c r="M13" s="70" t="s">
        <v>141</v>
      </c>
      <c r="N13" s="269">
        <v>40893</v>
      </c>
      <c r="O13" s="68" t="s">
        <v>8</v>
      </c>
      <c r="P13" s="339">
        <v>131</v>
      </c>
      <c r="Q13" s="340">
        <v>194</v>
      </c>
      <c r="R13" s="340">
        <v>6</v>
      </c>
      <c r="S13" s="501">
        <v>200866</v>
      </c>
      <c r="T13" s="502">
        <v>22465</v>
      </c>
      <c r="U13" s="501">
        <v>278308</v>
      </c>
      <c r="V13" s="502">
        <v>28767</v>
      </c>
      <c r="W13" s="501">
        <v>430741</v>
      </c>
      <c r="X13" s="502">
        <v>44216</v>
      </c>
      <c r="Y13" s="486">
        <f t="shared" si="0"/>
        <v>909915</v>
      </c>
      <c r="Z13" s="487">
        <f t="shared" si="1"/>
        <v>95448</v>
      </c>
      <c r="AA13" s="328">
        <f t="shared" si="2"/>
        <v>492</v>
      </c>
      <c r="AB13" s="329">
        <f t="shared" si="3"/>
        <v>9.533096555192357</v>
      </c>
      <c r="AC13" s="333">
        <v>951995</v>
      </c>
      <c r="AD13" s="331">
        <f t="shared" si="4"/>
        <v>-0.0442019128251724</v>
      </c>
      <c r="AE13" s="332">
        <f t="shared" si="5"/>
        <v>764250</v>
      </c>
      <c r="AF13" s="328">
        <f t="shared" si="6"/>
        <v>93135</v>
      </c>
      <c r="AG13" s="555">
        <v>1674165</v>
      </c>
      <c r="AH13" s="556">
        <v>188583</v>
      </c>
      <c r="AI13" s="331">
        <f t="shared" si="7"/>
        <v>0.5061325782281542</v>
      </c>
      <c r="AJ13" s="331">
        <f t="shared" si="8"/>
        <v>0.49386742177184584</v>
      </c>
      <c r="AK13" s="328">
        <f t="shared" si="9"/>
        <v>972.0773195876288</v>
      </c>
      <c r="AL13" s="329">
        <f t="shared" si="10"/>
        <v>8.877602965272585</v>
      </c>
      <c r="AM13" s="343">
        <v>1536557</v>
      </c>
      <c r="AN13" s="331">
        <f t="shared" si="11"/>
        <v>0.08955606593182029</v>
      </c>
      <c r="AO13" s="341">
        <v>13641012</v>
      </c>
      <c r="AP13" s="342">
        <v>1519587</v>
      </c>
      <c r="AQ13" s="337">
        <f t="shared" si="12"/>
        <v>8.97678908808775</v>
      </c>
      <c r="AR13" s="266">
        <v>40928</v>
      </c>
      <c r="AS13" s="494">
        <v>3</v>
      </c>
      <c r="AT13" s="62"/>
    </row>
    <row r="14" spans="1:46" s="10" customFormat="1" ht="15" customHeight="1">
      <c r="A14" s="539" t="s">
        <v>479</v>
      </c>
      <c r="B14" s="526"/>
      <c r="C14" s="470"/>
      <c r="D14" s="470"/>
      <c r="E14" s="470"/>
      <c r="F14" s="470"/>
      <c r="G14" s="470"/>
      <c r="H14" s="471"/>
      <c r="I14" s="474" t="s">
        <v>54</v>
      </c>
      <c r="J14" s="240" t="s">
        <v>347</v>
      </c>
      <c r="K14" s="65" t="s">
        <v>348</v>
      </c>
      <c r="L14" s="72"/>
      <c r="M14" s="72" t="s">
        <v>347</v>
      </c>
      <c r="N14" s="268">
        <v>40914</v>
      </c>
      <c r="O14" s="68" t="s">
        <v>12</v>
      </c>
      <c r="P14" s="325">
        <v>204</v>
      </c>
      <c r="Q14" s="326">
        <v>208</v>
      </c>
      <c r="R14" s="326">
        <v>3</v>
      </c>
      <c r="S14" s="327">
        <v>166587</v>
      </c>
      <c r="T14" s="503">
        <v>17153</v>
      </c>
      <c r="U14" s="504">
        <v>215893</v>
      </c>
      <c r="V14" s="503">
        <v>20404</v>
      </c>
      <c r="W14" s="504">
        <v>261049</v>
      </c>
      <c r="X14" s="503">
        <v>25085</v>
      </c>
      <c r="Y14" s="486">
        <f t="shared" si="0"/>
        <v>643529</v>
      </c>
      <c r="Z14" s="487">
        <f t="shared" si="1"/>
        <v>62642</v>
      </c>
      <c r="AA14" s="328">
        <f t="shared" si="2"/>
        <v>301.16346153846155</v>
      </c>
      <c r="AB14" s="329">
        <f t="shared" si="3"/>
        <v>10.273123463490949</v>
      </c>
      <c r="AC14" s="330">
        <v>908558</v>
      </c>
      <c r="AD14" s="331">
        <f t="shared" si="4"/>
        <v>-0.29170289623777457</v>
      </c>
      <c r="AE14" s="332">
        <f t="shared" si="5"/>
        <v>520194</v>
      </c>
      <c r="AF14" s="328">
        <f t="shared" si="6"/>
        <v>59977</v>
      </c>
      <c r="AG14" s="367">
        <v>1163723</v>
      </c>
      <c r="AH14" s="368">
        <v>122619</v>
      </c>
      <c r="AI14" s="331">
        <f t="shared" si="7"/>
        <v>0.5108669945114542</v>
      </c>
      <c r="AJ14" s="331">
        <f t="shared" si="8"/>
        <v>0.4891330054885458</v>
      </c>
      <c r="AK14" s="328">
        <f t="shared" si="9"/>
        <v>589.5144230769231</v>
      </c>
      <c r="AL14" s="329">
        <f t="shared" si="10"/>
        <v>9.490560190508813</v>
      </c>
      <c r="AM14" s="333">
        <v>1545867</v>
      </c>
      <c r="AN14" s="331">
        <f t="shared" si="11"/>
        <v>-0.24720367276098137</v>
      </c>
      <c r="AO14" s="333">
        <v>4281506</v>
      </c>
      <c r="AP14" s="334">
        <v>456384</v>
      </c>
      <c r="AQ14" s="337">
        <f t="shared" si="12"/>
        <v>9.38136744495863</v>
      </c>
      <c r="AR14" s="266">
        <v>40928</v>
      </c>
      <c r="AS14" s="494">
        <v>2</v>
      </c>
      <c r="AT14" s="62"/>
    </row>
    <row r="15" spans="1:46" s="10" customFormat="1" ht="15" customHeight="1">
      <c r="A15" s="539" t="s">
        <v>480</v>
      </c>
      <c r="B15" s="559"/>
      <c r="C15" s="470"/>
      <c r="D15" s="470"/>
      <c r="E15" s="470"/>
      <c r="F15" s="470"/>
      <c r="G15" s="470"/>
      <c r="H15" s="543"/>
      <c r="I15" s="472"/>
      <c r="J15" s="256" t="s">
        <v>391</v>
      </c>
      <c r="K15" s="65" t="s">
        <v>93</v>
      </c>
      <c r="L15" s="66" t="s">
        <v>95</v>
      </c>
      <c r="M15" s="68" t="s">
        <v>392</v>
      </c>
      <c r="N15" s="268">
        <v>40556</v>
      </c>
      <c r="O15" s="68" t="s">
        <v>10</v>
      </c>
      <c r="P15" s="325">
        <v>85</v>
      </c>
      <c r="Q15" s="344">
        <v>84</v>
      </c>
      <c r="R15" s="344">
        <v>2</v>
      </c>
      <c r="S15" s="499">
        <v>93755</v>
      </c>
      <c r="T15" s="500">
        <v>7933</v>
      </c>
      <c r="U15" s="499">
        <v>145105</v>
      </c>
      <c r="V15" s="500">
        <v>11455</v>
      </c>
      <c r="W15" s="499">
        <v>145090</v>
      </c>
      <c r="X15" s="500">
        <v>11777</v>
      </c>
      <c r="Y15" s="486">
        <f t="shared" si="0"/>
        <v>383950</v>
      </c>
      <c r="Z15" s="487">
        <f t="shared" si="1"/>
        <v>31165</v>
      </c>
      <c r="AA15" s="328">
        <f t="shared" si="2"/>
        <v>371.01190476190476</v>
      </c>
      <c r="AB15" s="329">
        <f t="shared" si="3"/>
        <v>12.319910155623296</v>
      </c>
      <c r="AC15" s="330">
        <v>495356</v>
      </c>
      <c r="AD15" s="331">
        <f t="shared" si="4"/>
        <v>-0.22490087936756595</v>
      </c>
      <c r="AE15" s="332">
        <f t="shared" si="5"/>
        <v>220055</v>
      </c>
      <c r="AF15" s="328">
        <f t="shared" si="6"/>
        <v>22228</v>
      </c>
      <c r="AG15" s="555">
        <v>604005</v>
      </c>
      <c r="AH15" s="556">
        <v>53393</v>
      </c>
      <c r="AI15" s="331">
        <f t="shared" si="7"/>
        <v>0.5836907459779371</v>
      </c>
      <c r="AJ15" s="331">
        <f t="shared" si="8"/>
        <v>0.4163092540220628</v>
      </c>
      <c r="AK15" s="328">
        <f t="shared" si="9"/>
        <v>635.6309523809524</v>
      </c>
      <c r="AL15" s="329">
        <f t="shared" si="10"/>
        <v>11.312437960032215</v>
      </c>
      <c r="AM15" s="333">
        <v>777874</v>
      </c>
      <c r="AN15" s="331">
        <f t="shared" si="11"/>
        <v>-0.22351820474781262</v>
      </c>
      <c r="AO15" s="341">
        <v>1381879</v>
      </c>
      <c r="AP15" s="342">
        <v>124283</v>
      </c>
      <c r="AQ15" s="337">
        <f t="shared" si="12"/>
        <v>11.118809491241763</v>
      </c>
      <c r="AR15" s="266">
        <v>40928</v>
      </c>
      <c r="AS15" s="494">
        <v>4</v>
      </c>
      <c r="AT15" s="306"/>
    </row>
    <row r="16" spans="1:46" s="10" customFormat="1" ht="15" customHeight="1">
      <c r="A16" s="539" t="s">
        <v>481</v>
      </c>
      <c r="B16" s="526"/>
      <c r="C16" s="473" t="s">
        <v>261</v>
      </c>
      <c r="D16" s="470"/>
      <c r="E16" s="470"/>
      <c r="F16" s="485">
        <v>2</v>
      </c>
      <c r="G16" s="481" t="s">
        <v>292</v>
      </c>
      <c r="H16" s="471"/>
      <c r="I16" s="471"/>
      <c r="J16" s="243" t="s">
        <v>222</v>
      </c>
      <c r="K16" s="65" t="s">
        <v>213</v>
      </c>
      <c r="L16" s="66" t="s">
        <v>94</v>
      </c>
      <c r="M16" s="67" t="s">
        <v>222</v>
      </c>
      <c r="N16" s="269">
        <v>40900</v>
      </c>
      <c r="O16" s="68" t="s">
        <v>12</v>
      </c>
      <c r="P16" s="325">
        <v>184</v>
      </c>
      <c r="Q16" s="326">
        <v>172</v>
      </c>
      <c r="R16" s="326">
        <v>5</v>
      </c>
      <c r="S16" s="327">
        <v>86379</v>
      </c>
      <c r="T16" s="503">
        <v>8535</v>
      </c>
      <c r="U16" s="504">
        <v>119823</v>
      </c>
      <c r="V16" s="503">
        <v>10845</v>
      </c>
      <c r="W16" s="504">
        <v>131192</v>
      </c>
      <c r="X16" s="503">
        <v>12189</v>
      </c>
      <c r="Y16" s="486">
        <f t="shared" si="0"/>
        <v>337394</v>
      </c>
      <c r="Z16" s="487">
        <f t="shared" si="1"/>
        <v>31569</v>
      </c>
      <c r="AA16" s="328">
        <f t="shared" si="2"/>
        <v>183.5406976744186</v>
      </c>
      <c r="AB16" s="329">
        <f t="shared" si="3"/>
        <v>10.687509898951504</v>
      </c>
      <c r="AC16" s="330">
        <v>459614</v>
      </c>
      <c r="AD16" s="331">
        <f t="shared" si="4"/>
        <v>-0.26591879272607016</v>
      </c>
      <c r="AE16" s="332">
        <f t="shared" si="5"/>
        <v>263456</v>
      </c>
      <c r="AF16" s="328">
        <f t="shared" si="6"/>
        <v>29271</v>
      </c>
      <c r="AG16" s="367">
        <v>600850</v>
      </c>
      <c r="AH16" s="368">
        <v>60840</v>
      </c>
      <c r="AI16" s="331">
        <f t="shared" si="7"/>
        <v>0.5188856015779093</v>
      </c>
      <c r="AJ16" s="331">
        <f t="shared" si="8"/>
        <v>0.48111439842209075</v>
      </c>
      <c r="AK16" s="328">
        <f t="shared" si="9"/>
        <v>353.72093023255815</v>
      </c>
      <c r="AL16" s="329">
        <f t="shared" si="10"/>
        <v>9.875904010519395</v>
      </c>
      <c r="AM16" s="343">
        <v>703674</v>
      </c>
      <c r="AN16" s="331">
        <f t="shared" si="11"/>
        <v>-0.1461244837808417</v>
      </c>
      <c r="AO16" s="333">
        <v>6097023</v>
      </c>
      <c r="AP16" s="334">
        <v>604730</v>
      </c>
      <c r="AQ16" s="337">
        <f t="shared" si="12"/>
        <v>10.082223471631968</v>
      </c>
      <c r="AR16" s="266">
        <v>40928</v>
      </c>
      <c r="AS16" s="494">
        <v>5</v>
      </c>
      <c r="AT16" s="306"/>
    </row>
    <row r="17" spans="1:46" s="10" customFormat="1" ht="15" customHeight="1">
      <c r="A17" s="539" t="s">
        <v>482</v>
      </c>
      <c r="B17" s="544" t="s">
        <v>56</v>
      </c>
      <c r="C17" s="470"/>
      <c r="D17" s="470"/>
      <c r="E17" s="470"/>
      <c r="F17" s="470"/>
      <c r="G17" s="470"/>
      <c r="H17" s="471"/>
      <c r="I17" s="471"/>
      <c r="J17" s="240" t="s">
        <v>434</v>
      </c>
      <c r="K17" s="65" t="s">
        <v>91</v>
      </c>
      <c r="L17" s="72" t="s">
        <v>94</v>
      </c>
      <c r="M17" s="72" t="s">
        <v>427</v>
      </c>
      <c r="N17" s="268">
        <v>40928</v>
      </c>
      <c r="O17" s="68" t="s">
        <v>12</v>
      </c>
      <c r="P17" s="325">
        <v>57</v>
      </c>
      <c r="Q17" s="326">
        <v>57</v>
      </c>
      <c r="R17" s="326">
        <v>1</v>
      </c>
      <c r="S17" s="327">
        <v>113020</v>
      </c>
      <c r="T17" s="503">
        <v>10737</v>
      </c>
      <c r="U17" s="504">
        <v>100930</v>
      </c>
      <c r="V17" s="503">
        <v>9104</v>
      </c>
      <c r="W17" s="504">
        <v>116862</v>
      </c>
      <c r="X17" s="503">
        <v>10581</v>
      </c>
      <c r="Y17" s="486">
        <f t="shared" si="0"/>
        <v>330812</v>
      </c>
      <c r="Z17" s="487">
        <f t="shared" si="1"/>
        <v>30422</v>
      </c>
      <c r="AA17" s="328">
        <f t="shared" si="2"/>
        <v>533.719298245614</v>
      </c>
      <c r="AB17" s="329">
        <f t="shared" si="3"/>
        <v>10.874104266649136</v>
      </c>
      <c r="AC17" s="330">
        <v>0</v>
      </c>
      <c r="AD17" s="331">
        <f t="shared" si="4"/>
      </c>
      <c r="AE17" s="332">
        <f t="shared" si="5"/>
        <v>217949</v>
      </c>
      <c r="AF17" s="328">
        <f t="shared" si="6"/>
        <v>24983</v>
      </c>
      <c r="AG17" s="367">
        <v>548761</v>
      </c>
      <c r="AH17" s="368">
        <v>55405</v>
      </c>
      <c r="AI17" s="331">
        <f t="shared" si="7"/>
        <v>0.5490840176879344</v>
      </c>
      <c r="AJ17" s="331">
        <f t="shared" si="8"/>
        <v>0.4509159823120657</v>
      </c>
      <c r="AK17" s="328">
        <f t="shared" si="9"/>
        <v>972.0175438596491</v>
      </c>
      <c r="AL17" s="329">
        <f t="shared" si="10"/>
        <v>9.904539301507084</v>
      </c>
      <c r="AM17" s="333"/>
      <c r="AN17" s="331">
        <f t="shared" si="11"/>
      </c>
      <c r="AO17" s="333">
        <v>548761</v>
      </c>
      <c r="AP17" s="334">
        <v>55405</v>
      </c>
      <c r="AQ17" s="337">
        <f t="shared" si="12"/>
        <v>9.904539301507084</v>
      </c>
      <c r="AR17" s="266">
        <v>40928</v>
      </c>
      <c r="AS17" s="494" t="s">
        <v>349</v>
      </c>
      <c r="AT17" s="306"/>
    </row>
    <row r="18" spans="1:46" s="10" customFormat="1" ht="15" customHeight="1">
      <c r="A18" s="539" t="s">
        <v>483</v>
      </c>
      <c r="B18" s="526"/>
      <c r="C18" s="473" t="s">
        <v>261</v>
      </c>
      <c r="D18" s="470"/>
      <c r="E18" s="470"/>
      <c r="F18" s="470"/>
      <c r="G18" s="481" t="s">
        <v>292</v>
      </c>
      <c r="H18" s="543"/>
      <c r="I18" s="548"/>
      <c r="J18" s="240" t="s">
        <v>221</v>
      </c>
      <c r="K18" s="65" t="s">
        <v>96</v>
      </c>
      <c r="L18" s="68" t="s">
        <v>95</v>
      </c>
      <c r="M18" s="68" t="s">
        <v>146</v>
      </c>
      <c r="N18" s="269">
        <v>40893</v>
      </c>
      <c r="O18" s="68" t="s">
        <v>10</v>
      </c>
      <c r="P18" s="325">
        <v>133</v>
      </c>
      <c r="Q18" s="344">
        <v>116</v>
      </c>
      <c r="R18" s="344">
        <v>6</v>
      </c>
      <c r="S18" s="499">
        <v>78191</v>
      </c>
      <c r="T18" s="500">
        <v>7613</v>
      </c>
      <c r="U18" s="499">
        <v>94063</v>
      </c>
      <c r="V18" s="500">
        <v>8456</v>
      </c>
      <c r="W18" s="499">
        <v>93631</v>
      </c>
      <c r="X18" s="500">
        <v>8676</v>
      </c>
      <c r="Y18" s="486">
        <f t="shared" si="0"/>
        <v>265885</v>
      </c>
      <c r="Z18" s="487">
        <f t="shared" si="1"/>
        <v>24745</v>
      </c>
      <c r="AA18" s="328">
        <f t="shared" si="2"/>
        <v>213.31896551724137</v>
      </c>
      <c r="AB18" s="329">
        <f t="shared" si="3"/>
        <v>10.744998989694889</v>
      </c>
      <c r="AC18" s="345">
        <v>330959</v>
      </c>
      <c r="AD18" s="331">
        <f t="shared" si="4"/>
        <v>-0.1966225423692965</v>
      </c>
      <c r="AE18" s="332">
        <f t="shared" si="5"/>
        <v>208887</v>
      </c>
      <c r="AF18" s="328">
        <f t="shared" si="6"/>
        <v>23053</v>
      </c>
      <c r="AG18" s="555">
        <v>474772</v>
      </c>
      <c r="AH18" s="556">
        <v>47798</v>
      </c>
      <c r="AI18" s="331">
        <f t="shared" si="7"/>
        <v>0.5176994853341144</v>
      </c>
      <c r="AJ18" s="331">
        <f t="shared" si="8"/>
        <v>0.4823005146658856</v>
      </c>
      <c r="AK18" s="328">
        <f t="shared" si="9"/>
        <v>412.05172413793105</v>
      </c>
      <c r="AL18" s="329">
        <f t="shared" si="10"/>
        <v>9.932884221097117</v>
      </c>
      <c r="AM18" s="343">
        <v>564431</v>
      </c>
      <c r="AN18" s="331">
        <f t="shared" si="11"/>
        <v>-0.1588484686347844</v>
      </c>
      <c r="AO18" s="341">
        <v>6987433</v>
      </c>
      <c r="AP18" s="342">
        <v>689211</v>
      </c>
      <c r="AQ18" s="337">
        <f t="shared" si="12"/>
        <v>10.138307426898294</v>
      </c>
      <c r="AR18" s="266">
        <v>40928</v>
      </c>
      <c r="AS18" s="494">
        <v>6</v>
      </c>
      <c r="AT18" s="62"/>
    </row>
    <row r="19" spans="1:46" s="10" customFormat="1" ht="15" customHeight="1">
      <c r="A19" s="539" t="s">
        <v>484</v>
      </c>
      <c r="B19" s="526"/>
      <c r="C19" s="470"/>
      <c r="D19" s="470"/>
      <c r="E19" s="470"/>
      <c r="F19" s="470"/>
      <c r="G19" s="470"/>
      <c r="H19" s="471"/>
      <c r="I19" s="474" t="s">
        <v>54</v>
      </c>
      <c r="J19" s="379" t="s">
        <v>381</v>
      </c>
      <c r="K19" s="68" t="s">
        <v>382</v>
      </c>
      <c r="L19" s="68"/>
      <c r="M19" s="68" t="s">
        <v>381</v>
      </c>
      <c r="N19" s="268">
        <v>40921</v>
      </c>
      <c r="O19" s="68" t="s">
        <v>52</v>
      </c>
      <c r="P19" s="325">
        <v>49</v>
      </c>
      <c r="Q19" s="344">
        <v>49</v>
      </c>
      <c r="R19" s="344">
        <v>2</v>
      </c>
      <c r="S19" s="499">
        <v>45026</v>
      </c>
      <c r="T19" s="500">
        <v>4110</v>
      </c>
      <c r="U19" s="499">
        <v>75398</v>
      </c>
      <c r="V19" s="500">
        <v>6297</v>
      </c>
      <c r="W19" s="499">
        <v>83571.5</v>
      </c>
      <c r="X19" s="500">
        <v>6957</v>
      </c>
      <c r="Y19" s="486">
        <f t="shared" si="0"/>
        <v>203995.5</v>
      </c>
      <c r="Z19" s="487">
        <f t="shared" si="1"/>
        <v>17364</v>
      </c>
      <c r="AA19" s="328">
        <f t="shared" si="2"/>
        <v>354.3673469387755</v>
      </c>
      <c r="AB19" s="329">
        <f t="shared" si="3"/>
        <v>11.748185901865929</v>
      </c>
      <c r="AC19" s="330">
        <v>208299.5</v>
      </c>
      <c r="AD19" s="331">
        <f t="shared" si="4"/>
        <v>-0.020662555599029284</v>
      </c>
      <c r="AE19" s="332">
        <f t="shared" si="5"/>
        <v>139251</v>
      </c>
      <c r="AF19" s="328">
        <f t="shared" si="6"/>
        <v>14134</v>
      </c>
      <c r="AG19" s="553">
        <v>343246.5</v>
      </c>
      <c r="AH19" s="554">
        <v>31498</v>
      </c>
      <c r="AI19" s="331">
        <f t="shared" si="7"/>
        <v>0.5512730967045527</v>
      </c>
      <c r="AJ19" s="331">
        <f t="shared" si="8"/>
        <v>0.44872690329544734</v>
      </c>
      <c r="AK19" s="328">
        <f t="shared" si="9"/>
        <v>642.8163265306123</v>
      </c>
      <c r="AL19" s="329">
        <f t="shared" si="10"/>
        <v>10.897406184519651</v>
      </c>
      <c r="AM19" s="333">
        <v>357713</v>
      </c>
      <c r="AN19" s="331">
        <f t="shared" si="11"/>
        <v>-0.0404416389675522</v>
      </c>
      <c r="AO19" s="505">
        <f>357713+343246.5</f>
        <v>700959.5</v>
      </c>
      <c r="AP19" s="334">
        <f>33400+31498</f>
        <v>64898</v>
      </c>
      <c r="AQ19" s="337">
        <f t="shared" si="12"/>
        <v>10.800941477395297</v>
      </c>
      <c r="AR19" s="266">
        <v>40928</v>
      </c>
      <c r="AS19" s="494">
        <v>8</v>
      </c>
      <c r="AT19" s="62"/>
    </row>
    <row r="20" spans="1:46" s="10" customFormat="1" ht="15" customHeight="1">
      <c r="A20" s="539" t="s">
        <v>485</v>
      </c>
      <c r="B20" s="544" t="s">
        <v>56</v>
      </c>
      <c r="C20" s="470"/>
      <c r="D20" s="470"/>
      <c r="E20" s="470"/>
      <c r="F20" s="470"/>
      <c r="G20" s="470"/>
      <c r="H20" s="471"/>
      <c r="I20" s="471"/>
      <c r="J20" s="238" t="s">
        <v>428</v>
      </c>
      <c r="K20" s="65" t="s">
        <v>126</v>
      </c>
      <c r="L20" s="70" t="s">
        <v>89</v>
      </c>
      <c r="M20" s="70" t="s">
        <v>429</v>
      </c>
      <c r="N20" s="269">
        <v>40928</v>
      </c>
      <c r="O20" s="68" t="s">
        <v>68</v>
      </c>
      <c r="P20" s="339">
        <v>55</v>
      </c>
      <c r="Q20" s="326">
        <v>55</v>
      </c>
      <c r="R20" s="326">
        <v>1</v>
      </c>
      <c r="S20" s="506">
        <v>49782.5</v>
      </c>
      <c r="T20" s="507">
        <v>4259</v>
      </c>
      <c r="U20" s="506">
        <v>69059.5</v>
      </c>
      <c r="V20" s="507">
        <v>5465</v>
      </c>
      <c r="W20" s="506">
        <v>70868.5</v>
      </c>
      <c r="X20" s="507">
        <v>5655</v>
      </c>
      <c r="Y20" s="486">
        <f t="shared" si="0"/>
        <v>189710.5</v>
      </c>
      <c r="Z20" s="487">
        <f t="shared" si="1"/>
        <v>15379</v>
      </c>
      <c r="AA20" s="328">
        <f t="shared" si="2"/>
        <v>279.6181818181818</v>
      </c>
      <c r="AB20" s="329">
        <f t="shared" si="3"/>
        <v>12.335685025034138</v>
      </c>
      <c r="AC20" s="347">
        <v>0</v>
      </c>
      <c r="AD20" s="331">
        <f t="shared" si="4"/>
      </c>
      <c r="AE20" s="332">
        <f t="shared" si="5"/>
        <v>138307.5</v>
      </c>
      <c r="AF20" s="328">
        <f t="shared" si="6"/>
        <v>13354</v>
      </c>
      <c r="AG20" s="371">
        <v>328018</v>
      </c>
      <c r="AH20" s="372">
        <v>28733</v>
      </c>
      <c r="AI20" s="331">
        <f t="shared" si="7"/>
        <v>0.5352382278216684</v>
      </c>
      <c r="AJ20" s="331">
        <f t="shared" si="8"/>
        <v>0.46476177217833153</v>
      </c>
      <c r="AK20" s="328">
        <f t="shared" si="9"/>
        <v>522.4181818181818</v>
      </c>
      <c r="AL20" s="329">
        <f t="shared" si="10"/>
        <v>11.416072112205478</v>
      </c>
      <c r="AM20" s="343"/>
      <c r="AN20" s="331">
        <f t="shared" si="11"/>
      </c>
      <c r="AO20" s="343">
        <f>328018</f>
        <v>328018</v>
      </c>
      <c r="AP20" s="348">
        <f>28733</f>
        <v>28733</v>
      </c>
      <c r="AQ20" s="337">
        <f t="shared" si="12"/>
        <v>11.416072112205478</v>
      </c>
      <c r="AR20" s="266">
        <v>40928</v>
      </c>
      <c r="AS20" s="493" t="s">
        <v>349</v>
      </c>
      <c r="AT20" s="62"/>
    </row>
    <row r="21" spans="1:46" s="10" customFormat="1" ht="15" customHeight="1">
      <c r="A21" s="539" t="s">
        <v>486</v>
      </c>
      <c r="B21" s="526"/>
      <c r="C21" s="473" t="s">
        <v>261</v>
      </c>
      <c r="D21" s="482" t="s">
        <v>223</v>
      </c>
      <c r="E21" s="470"/>
      <c r="F21" s="485">
        <v>2</v>
      </c>
      <c r="G21" s="481" t="s">
        <v>292</v>
      </c>
      <c r="H21" s="475" t="s">
        <v>55</v>
      </c>
      <c r="I21" s="472"/>
      <c r="J21" s="243" t="s">
        <v>144</v>
      </c>
      <c r="K21" s="65" t="s">
        <v>126</v>
      </c>
      <c r="L21" s="69" t="s">
        <v>89</v>
      </c>
      <c r="M21" s="67" t="s">
        <v>145</v>
      </c>
      <c r="N21" s="268">
        <v>40893</v>
      </c>
      <c r="O21" s="68" t="s">
        <v>68</v>
      </c>
      <c r="P21" s="325">
        <v>131</v>
      </c>
      <c r="Q21" s="326">
        <v>117</v>
      </c>
      <c r="R21" s="326">
        <v>6</v>
      </c>
      <c r="S21" s="506">
        <v>31454.5</v>
      </c>
      <c r="T21" s="507">
        <v>3830</v>
      </c>
      <c r="U21" s="506">
        <v>43097.5</v>
      </c>
      <c r="V21" s="507">
        <v>5392</v>
      </c>
      <c r="W21" s="506">
        <v>52580</v>
      </c>
      <c r="X21" s="507">
        <v>6226</v>
      </c>
      <c r="Y21" s="486">
        <f t="shared" si="0"/>
        <v>127132</v>
      </c>
      <c r="Z21" s="487">
        <f t="shared" si="1"/>
        <v>15448</v>
      </c>
      <c r="AA21" s="328">
        <f t="shared" si="2"/>
        <v>132.03418803418805</v>
      </c>
      <c r="AB21" s="329">
        <f t="shared" si="3"/>
        <v>8.229673744174002</v>
      </c>
      <c r="AC21" s="330">
        <v>161684</v>
      </c>
      <c r="AD21" s="331">
        <f t="shared" si="4"/>
        <v>-0.21370079908958214</v>
      </c>
      <c r="AE21" s="332">
        <f t="shared" si="5"/>
        <v>152628.5</v>
      </c>
      <c r="AF21" s="328">
        <f t="shared" si="6"/>
        <v>20116</v>
      </c>
      <c r="AG21" s="371">
        <v>279760.5</v>
      </c>
      <c r="AH21" s="372">
        <v>35564</v>
      </c>
      <c r="AI21" s="331">
        <f t="shared" si="7"/>
        <v>0.43437183668878643</v>
      </c>
      <c r="AJ21" s="331">
        <f t="shared" si="8"/>
        <v>0.5656281633112136</v>
      </c>
      <c r="AK21" s="328">
        <f t="shared" si="9"/>
        <v>303.96581196581195</v>
      </c>
      <c r="AL21" s="329">
        <f t="shared" si="10"/>
        <v>7.866395793499044</v>
      </c>
      <c r="AM21" s="343">
        <v>254766.5</v>
      </c>
      <c r="AN21" s="331">
        <f t="shared" si="11"/>
        <v>0.09810552015276734</v>
      </c>
      <c r="AO21" s="343">
        <f>1320389+1047397.5+530759.5+445722+254656.5+279760.5</f>
        <v>3878685</v>
      </c>
      <c r="AP21" s="348">
        <f>139659+113627+60100+49146+32088+35564</f>
        <v>430184</v>
      </c>
      <c r="AQ21" s="337">
        <f t="shared" si="12"/>
        <v>9.016339519833373</v>
      </c>
      <c r="AR21" s="266">
        <v>40928</v>
      </c>
      <c r="AS21" s="494">
        <v>9</v>
      </c>
      <c r="AT21" s="62"/>
    </row>
    <row r="22" spans="1:46" s="10" customFormat="1" ht="15" customHeight="1">
      <c r="A22" s="539" t="s">
        <v>487</v>
      </c>
      <c r="B22" s="526"/>
      <c r="C22" s="470"/>
      <c r="D22" s="482" t="s">
        <v>223</v>
      </c>
      <c r="E22" s="470"/>
      <c r="F22" s="470"/>
      <c r="G22" s="470"/>
      <c r="H22" s="471"/>
      <c r="I22" s="471"/>
      <c r="J22" s="238" t="s">
        <v>344</v>
      </c>
      <c r="K22" s="65" t="s">
        <v>126</v>
      </c>
      <c r="L22" s="70" t="s">
        <v>89</v>
      </c>
      <c r="M22" s="70" t="s">
        <v>351</v>
      </c>
      <c r="N22" s="269">
        <v>40914</v>
      </c>
      <c r="O22" s="68" t="s">
        <v>68</v>
      </c>
      <c r="P22" s="325">
        <v>56</v>
      </c>
      <c r="Q22" s="326">
        <v>54</v>
      </c>
      <c r="R22" s="326">
        <v>3</v>
      </c>
      <c r="S22" s="506">
        <v>29656.5</v>
      </c>
      <c r="T22" s="507">
        <v>2894</v>
      </c>
      <c r="U22" s="506">
        <v>25990</v>
      </c>
      <c r="V22" s="507">
        <v>2470</v>
      </c>
      <c r="W22" s="506">
        <v>28289.5</v>
      </c>
      <c r="X22" s="507">
        <v>2654</v>
      </c>
      <c r="Y22" s="486">
        <f t="shared" si="0"/>
        <v>83936</v>
      </c>
      <c r="Z22" s="487">
        <f t="shared" si="1"/>
        <v>8018</v>
      </c>
      <c r="AA22" s="328">
        <f t="shared" si="2"/>
        <v>148.4814814814815</v>
      </c>
      <c r="AB22" s="329">
        <f t="shared" si="3"/>
        <v>10.468445996507857</v>
      </c>
      <c r="AC22" s="347">
        <v>113485.5</v>
      </c>
      <c r="AD22" s="331">
        <f t="shared" si="4"/>
        <v>-0.26038128219023576</v>
      </c>
      <c r="AE22" s="332">
        <f t="shared" si="5"/>
        <v>106991</v>
      </c>
      <c r="AF22" s="328">
        <f t="shared" si="6"/>
        <v>11891</v>
      </c>
      <c r="AG22" s="371">
        <v>190927</v>
      </c>
      <c r="AH22" s="372">
        <v>19909</v>
      </c>
      <c r="AI22" s="331">
        <f t="shared" si="7"/>
        <v>0.40273243256818525</v>
      </c>
      <c r="AJ22" s="331">
        <f t="shared" si="8"/>
        <v>0.5972675674318147</v>
      </c>
      <c r="AK22" s="328">
        <f t="shared" si="9"/>
        <v>368.68518518518516</v>
      </c>
      <c r="AL22" s="329">
        <f t="shared" si="10"/>
        <v>9.589984429152645</v>
      </c>
      <c r="AM22" s="343">
        <v>162247.5</v>
      </c>
      <c r="AN22" s="331">
        <f t="shared" si="11"/>
        <v>0.1767638946670981</v>
      </c>
      <c r="AO22" s="343">
        <f>212792+161708.5+190927</f>
        <v>565427.5</v>
      </c>
      <c r="AP22" s="348">
        <f>19942+16687+19909</f>
        <v>56538</v>
      </c>
      <c r="AQ22" s="337">
        <f t="shared" si="12"/>
        <v>10.00084014291273</v>
      </c>
      <c r="AR22" s="266">
        <v>40928</v>
      </c>
      <c r="AS22" s="494">
        <v>13</v>
      </c>
      <c r="AT22" s="62"/>
    </row>
    <row r="23" spans="1:46" s="10" customFormat="1" ht="15" customHeight="1">
      <c r="A23" s="539" t="s">
        <v>488</v>
      </c>
      <c r="B23" s="526"/>
      <c r="C23" s="540"/>
      <c r="D23" s="540"/>
      <c r="E23" s="540"/>
      <c r="F23" s="470"/>
      <c r="G23" s="540"/>
      <c r="H23" s="471"/>
      <c r="I23" s="472"/>
      <c r="J23" s="256" t="s">
        <v>393</v>
      </c>
      <c r="K23" s="65" t="s">
        <v>396</v>
      </c>
      <c r="L23" s="68" t="s">
        <v>394</v>
      </c>
      <c r="M23" s="68" t="s">
        <v>395</v>
      </c>
      <c r="N23" s="268">
        <v>40921</v>
      </c>
      <c r="O23" s="68" t="s">
        <v>370</v>
      </c>
      <c r="P23" s="325">
        <v>30</v>
      </c>
      <c r="Q23" s="326">
        <v>30</v>
      </c>
      <c r="R23" s="326">
        <v>2</v>
      </c>
      <c r="S23" s="508">
        <v>25889.5</v>
      </c>
      <c r="T23" s="509">
        <v>1801</v>
      </c>
      <c r="U23" s="508">
        <v>44091.5</v>
      </c>
      <c r="V23" s="509">
        <v>3000</v>
      </c>
      <c r="W23" s="508">
        <v>47254</v>
      </c>
      <c r="X23" s="509">
        <v>3218</v>
      </c>
      <c r="Y23" s="486">
        <f t="shared" si="0"/>
        <v>117235</v>
      </c>
      <c r="Z23" s="487">
        <f t="shared" si="1"/>
        <v>8019</v>
      </c>
      <c r="AA23" s="328">
        <f t="shared" si="2"/>
        <v>267.3</v>
      </c>
      <c r="AB23" s="329">
        <f t="shared" si="3"/>
        <v>14.619653323357028</v>
      </c>
      <c r="AC23" s="345">
        <v>130369</v>
      </c>
      <c r="AD23" s="331">
        <f t="shared" si="4"/>
        <v>-0.10074480896532151</v>
      </c>
      <c r="AE23" s="332">
        <f t="shared" si="5"/>
        <v>63923</v>
      </c>
      <c r="AF23" s="328">
        <f t="shared" si="6"/>
        <v>5290</v>
      </c>
      <c r="AG23" s="375">
        <v>181158</v>
      </c>
      <c r="AH23" s="376">
        <v>13309</v>
      </c>
      <c r="AI23" s="331">
        <f t="shared" si="7"/>
        <v>0.6025246074085205</v>
      </c>
      <c r="AJ23" s="331">
        <f t="shared" si="8"/>
        <v>0.39747539259147946</v>
      </c>
      <c r="AK23" s="328">
        <f t="shared" si="9"/>
        <v>443.6333333333333</v>
      </c>
      <c r="AL23" s="329">
        <f t="shared" si="10"/>
        <v>13.611691336689459</v>
      </c>
      <c r="AM23" s="343">
        <v>209032</v>
      </c>
      <c r="AN23" s="331">
        <f t="shared" si="11"/>
        <v>-0.13334800413333844</v>
      </c>
      <c r="AO23" s="350">
        <v>390190</v>
      </c>
      <c r="AP23" s="351">
        <v>28802</v>
      </c>
      <c r="AQ23" s="337">
        <f t="shared" si="12"/>
        <v>13.547323102562322</v>
      </c>
      <c r="AR23" s="266">
        <v>40928</v>
      </c>
      <c r="AS23" s="494">
        <v>10</v>
      </c>
      <c r="AT23" s="62"/>
    </row>
    <row r="24" spans="1:46" s="10" customFormat="1" ht="15" customHeight="1">
      <c r="A24" s="539" t="s">
        <v>489</v>
      </c>
      <c r="B24" s="526"/>
      <c r="C24" s="470"/>
      <c r="D24" s="480"/>
      <c r="E24" s="480"/>
      <c r="F24" s="470"/>
      <c r="G24" s="480"/>
      <c r="H24" s="471"/>
      <c r="I24" s="474" t="s">
        <v>54</v>
      </c>
      <c r="J24" s="238" t="s">
        <v>337</v>
      </c>
      <c r="K24" s="70" t="s">
        <v>339</v>
      </c>
      <c r="L24" s="65"/>
      <c r="M24" s="70" t="s">
        <v>337</v>
      </c>
      <c r="N24" s="268">
        <v>40914</v>
      </c>
      <c r="O24" s="68" t="s">
        <v>53</v>
      </c>
      <c r="P24" s="352">
        <v>97</v>
      </c>
      <c r="Q24" s="510">
        <v>96</v>
      </c>
      <c r="R24" s="510">
        <v>3</v>
      </c>
      <c r="S24" s="504">
        <v>19231</v>
      </c>
      <c r="T24" s="503">
        <v>2490</v>
      </c>
      <c r="U24" s="504">
        <v>26549.5</v>
      </c>
      <c r="V24" s="503">
        <v>3220</v>
      </c>
      <c r="W24" s="504">
        <v>38348</v>
      </c>
      <c r="X24" s="503">
        <v>4600</v>
      </c>
      <c r="Y24" s="486">
        <f t="shared" si="0"/>
        <v>84128.5</v>
      </c>
      <c r="Z24" s="487">
        <f t="shared" si="1"/>
        <v>10310</v>
      </c>
      <c r="AA24" s="328">
        <f t="shared" si="2"/>
        <v>107.39583333333333</v>
      </c>
      <c r="AB24" s="329">
        <f t="shared" si="3"/>
        <v>8.159893307468478</v>
      </c>
      <c r="AC24" s="330">
        <v>118459.5</v>
      </c>
      <c r="AD24" s="331">
        <f t="shared" si="4"/>
        <v>-0.2898121298840532</v>
      </c>
      <c r="AE24" s="332">
        <f t="shared" si="5"/>
        <v>65461</v>
      </c>
      <c r="AF24" s="328">
        <f t="shared" si="6"/>
        <v>9073</v>
      </c>
      <c r="AG24" s="367">
        <v>149589.5</v>
      </c>
      <c r="AH24" s="368">
        <v>19383</v>
      </c>
      <c r="AI24" s="331">
        <f t="shared" si="7"/>
        <v>0.5319094051488418</v>
      </c>
      <c r="AJ24" s="331">
        <f t="shared" si="8"/>
        <v>0.4680905948511582</v>
      </c>
      <c r="AK24" s="328">
        <f t="shared" si="9"/>
        <v>201.90625</v>
      </c>
      <c r="AL24" s="329">
        <f t="shared" si="10"/>
        <v>7.717561780942063</v>
      </c>
      <c r="AM24" s="333">
        <v>198358.5</v>
      </c>
      <c r="AN24" s="331">
        <f t="shared" si="11"/>
        <v>-0.24586291991520404</v>
      </c>
      <c r="AO24" s="333">
        <f>216520+198358.5+149589.5</f>
        <v>564468</v>
      </c>
      <c r="AP24" s="334">
        <f>26831+25025+19383</f>
        <v>71239</v>
      </c>
      <c r="AQ24" s="337">
        <f t="shared" si="12"/>
        <v>7.923581184463567</v>
      </c>
      <c r="AR24" s="266">
        <v>40928</v>
      </c>
      <c r="AS24" s="494">
        <v>12</v>
      </c>
      <c r="AT24" s="62"/>
    </row>
    <row r="25" spans="1:46" s="10" customFormat="1" ht="15" customHeight="1">
      <c r="A25" s="539" t="s">
        <v>490</v>
      </c>
      <c r="B25" s="526"/>
      <c r="C25" s="470"/>
      <c r="D25" s="470"/>
      <c r="E25" s="477">
        <v>3</v>
      </c>
      <c r="F25" s="470"/>
      <c r="G25" s="470"/>
      <c r="H25" s="471"/>
      <c r="I25" s="471"/>
      <c r="J25" s="238" t="s">
        <v>345</v>
      </c>
      <c r="K25" s="65" t="s">
        <v>126</v>
      </c>
      <c r="L25" s="70" t="s">
        <v>89</v>
      </c>
      <c r="M25" s="70" t="s">
        <v>352</v>
      </c>
      <c r="N25" s="269">
        <v>40914</v>
      </c>
      <c r="O25" s="68" t="s">
        <v>68</v>
      </c>
      <c r="P25" s="325">
        <v>66</v>
      </c>
      <c r="Q25" s="326">
        <v>37</v>
      </c>
      <c r="R25" s="326">
        <v>3</v>
      </c>
      <c r="S25" s="506">
        <v>17405.5</v>
      </c>
      <c r="T25" s="507">
        <v>1889</v>
      </c>
      <c r="U25" s="506">
        <v>19178</v>
      </c>
      <c r="V25" s="507">
        <v>1866</v>
      </c>
      <c r="W25" s="506">
        <v>24502.5</v>
      </c>
      <c r="X25" s="507">
        <v>2292</v>
      </c>
      <c r="Y25" s="486">
        <f t="shared" si="0"/>
        <v>61086</v>
      </c>
      <c r="Z25" s="487">
        <f t="shared" si="1"/>
        <v>6047</v>
      </c>
      <c r="AA25" s="328">
        <f t="shared" si="2"/>
        <v>163.43243243243242</v>
      </c>
      <c r="AB25" s="329">
        <f t="shared" si="3"/>
        <v>10.101868695220771</v>
      </c>
      <c r="AC25" s="347">
        <v>315079.5</v>
      </c>
      <c r="AD25" s="331">
        <f t="shared" si="4"/>
        <v>-0.806125120802845</v>
      </c>
      <c r="AE25" s="332">
        <f t="shared" si="5"/>
        <v>47888</v>
      </c>
      <c r="AF25" s="328">
        <f t="shared" si="6"/>
        <v>5385</v>
      </c>
      <c r="AG25" s="371">
        <v>108974</v>
      </c>
      <c r="AH25" s="372">
        <v>11432</v>
      </c>
      <c r="AI25" s="331">
        <f t="shared" si="7"/>
        <v>0.5289538138558433</v>
      </c>
      <c r="AJ25" s="331">
        <f t="shared" si="8"/>
        <v>0.4710461861441568</v>
      </c>
      <c r="AK25" s="328">
        <f t="shared" si="9"/>
        <v>308.97297297297297</v>
      </c>
      <c r="AL25" s="329">
        <f t="shared" si="10"/>
        <v>9.532365290412876</v>
      </c>
      <c r="AM25" s="343">
        <v>541400</v>
      </c>
      <c r="AN25" s="331">
        <f t="shared" si="11"/>
        <v>-0.7987181381603251</v>
      </c>
      <c r="AO25" s="343">
        <f>683638.5+541400+108974</f>
        <v>1334012.5</v>
      </c>
      <c r="AP25" s="348">
        <f>65177+52837+11432</f>
        <v>129446</v>
      </c>
      <c r="AQ25" s="337">
        <f t="shared" si="12"/>
        <v>10.305552122120421</v>
      </c>
      <c r="AR25" s="266">
        <v>40928</v>
      </c>
      <c r="AS25" s="494">
        <v>7</v>
      </c>
      <c r="AT25" s="62"/>
    </row>
    <row r="26" spans="1:46" s="10" customFormat="1" ht="15" customHeight="1">
      <c r="A26" s="539" t="s">
        <v>491</v>
      </c>
      <c r="B26" s="526"/>
      <c r="C26" s="473" t="s">
        <v>261</v>
      </c>
      <c r="D26" s="470"/>
      <c r="E26" s="470"/>
      <c r="F26" s="470"/>
      <c r="G26" s="476"/>
      <c r="H26" s="471"/>
      <c r="I26" s="474" t="s">
        <v>54</v>
      </c>
      <c r="J26" s="243" t="s">
        <v>151</v>
      </c>
      <c r="K26" s="65" t="s">
        <v>218</v>
      </c>
      <c r="L26" s="69"/>
      <c r="M26" s="67" t="s">
        <v>151</v>
      </c>
      <c r="N26" s="268">
        <v>40900</v>
      </c>
      <c r="O26" s="68" t="s">
        <v>68</v>
      </c>
      <c r="P26" s="325">
        <v>197</v>
      </c>
      <c r="Q26" s="326">
        <v>76</v>
      </c>
      <c r="R26" s="326">
        <v>5</v>
      </c>
      <c r="S26" s="506">
        <v>9964</v>
      </c>
      <c r="T26" s="507">
        <v>1512</v>
      </c>
      <c r="U26" s="506">
        <v>13660.5</v>
      </c>
      <c r="V26" s="507">
        <v>1900</v>
      </c>
      <c r="W26" s="506">
        <v>15852.5</v>
      </c>
      <c r="X26" s="507">
        <v>2177</v>
      </c>
      <c r="Y26" s="486">
        <f t="shared" si="0"/>
        <v>39477</v>
      </c>
      <c r="Z26" s="487">
        <f t="shared" si="1"/>
        <v>5589</v>
      </c>
      <c r="AA26" s="328">
        <f t="shared" si="2"/>
        <v>73.53947368421052</v>
      </c>
      <c r="AB26" s="329">
        <f t="shared" si="3"/>
        <v>7.063338701019861</v>
      </c>
      <c r="AC26" s="330">
        <v>114888</v>
      </c>
      <c r="AD26" s="331">
        <f t="shared" si="4"/>
        <v>-0.6563870900355129</v>
      </c>
      <c r="AE26" s="332">
        <f t="shared" si="5"/>
        <v>32552</v>
      </c>
      <c r="AF26" s="328">
        <f t="shared" si="6"/>
        <v>5187</v>
      </c>
      <c r="AG26" s="371">
        <v>72029</v>
      </c>
      <c r="AH26" s="372">
        <v>10776</v>
      </c>
      <c r="AI26" s="331">
        <f t="shared" si="7"/>
        <v>0.518652561247216</v>
      </c>
      <c r="AJ26" s="331">
        <f t="shared" si="8"/>
        <v>0.48134743875278396</v>
      </c>
      <c r="AK26" s="328">
        <f t="shared" si="9"/>
        <v>141.78947368421052</v>
      </c>
      <c r="AL26" s="329">
        <f t="shared" si="10"/>
        <v>6.684205642167781</v>
      </c>
      <c r="AM26" s="343">
        <v>206447</v>
      </c>
      <c r="AN26" s="331">
        <f t="shared" si="11"/>
        <v>-0.6511017355544038</v>
      </c>
      <c r="AO26" s="343">
        <f>985836.5+657011.5+454728.5+206461+72029</f>
        <v>2376066.5</v>
      </c>
      <c r="AP26" s="348">
        <f>106718+73176+50608+29114+10776</f>
        <v>270392</v>
      </c>
      <c r="AQ26" s="337">
        <f t="shared" si="12"/>
        <v>8.787488165330336</v>
      </c>
      <c r="AR26" s="266">
        <v>40928</v>
      </c>
      <c r="AS26" s="494">
        <v>11</v>
      </c>
      <c r="AT26" s="62"/>
    </row>
    <row r="27" spans="1:46" s="10" customFormat="1" ht="15" customHeight="1">
      <c r="A27" s="539" t="s">
        <v>492</v>
      </c>
      <c r="B27" s="526"/>
      <c r="C27" s="473" t="s">
        <v>261</v>
      </c>
      <c r="D27" s="540"/>
      <c r="E27" s="540"/>
      <c r="F27" s="470"/>
      <c r="G27" s="540"/>
      <c r="H27" s="545"/>
      <c r="I27" s="474" t="s">
        <v>54</v>
      </c>
      <c r="J27" s="243" t="s">
        <v>107</v>
      </c>
      <c r="K27" s="67" t="s">
        <v>123</v>
      </c>
      <c r="L27" s="69"/>
      <c r="M27" s="67" t="s">
        <v>107</v>
      </c>
      <c r="N27" s="268">
        <v>40879</v>
      </c>
      <c r="O27" s="68" t="s">
        <v>68</v>
      </c>
      <c r="P27" s="325">
        <v>202</v>
      </c>
      <c r="Q27" s="326">
        <v>51</v>
      </c>
      <c r="R27" s="326">
        <v>8</v>
      </c>
      <c r="S27" s="506">
        <v>9758</v>
      </c>
      <c r="T27" s="507">
        <v>1409</v>
      </c>
      <c r="U27" s="506">
        <v>10247</v>
      </c>
      <c r="V27" s="507">
        <v>1435</v>
      </c>
      <c r="W27" s="506">
        <v>15065</v>
      </c>
      <c r="X27" s="507">
        <v>2055</v>
      </c>
      <c r="Y27" s="486">
        <f t="shared" si="0"/>
        <v>35070</v>
      </c>
      <c r="Z27" s="487">
        <f t="shared" si="1"/>
        <v>4899</v>
      </c>
      <c r="AA27" s="328">
        <f t="shared" si="2"/>
        <v>96.05882352941177</v>
      </c>
      <c r="AB27" s="329">
        <f t="shared" si="3"/>
        <v>7.158603796693202</v>
      </c>
      <c r="AC27" s="330">
        <v>58230.5</v>
      </c>
      <c r="AD27" s="331">
        <f t="shared" si="4"/>
        <v>-0.3977382986579198</v>
      </c>
      <c r="AE27" s="332">
        <f t="shared" si="5"/>
        <v>33915</v>
      </c>
      <c r="AF27" s="328">
        <f t="shared" si="6"/>
        <v>5439</v>
      </c>
      <c r="AG27" s="371">
        <v>68985</v>
      </c>
      <c r="AH27" s="372">
        <v>10338</v>
      </c>
      <c r="AI27" s="331">
        <f t="shared" si="7"/>
        <v>0.4738827626233314</v>
      </c>
      <c r="AJ27" s="331">
        <f t="shared" si="8"/>
        <v>0.5261172373766686</v>
      </c>
      <c r="AK27" s="328">
        <f t="shared" si="9"/>
        <v>202.7058823529412</v>
      </c>
      <c r="AL27" s="329">
        <f t="shared" si="10"/>
        <v>6.672954149738827</v>
      </c>
      <c r="AM27" s="343">
        <v>96969.5</v>
      </c>
      <c r="AN27" s="331">
        <f t="shared" si="11"/>
        <v>-0.2885907424499456</v>
      </c>
      <c r="AO27" s="343">
        <f>1080241.5+1088121+871543+502064+300294.5+131358.5+96969.5+68985</f>
        <v>4139577</v>
      </c>
      <c r="AP27" s="348">
        <f>121812+123965+100674+61096+39726+19116+14898+10338</f>
        <v>491625</v>
      </c>
      <c r="AQ27" s="337">
        <f t="shared" si="12"/>
        <v>8.420192219679635</v>
      </c>
      <c r="AR27" s="266">
        <v>40928</v>
      </c>
      <c r="AS27" s="494">
        <v>15</v>
      </c>
      <c r="AT27" s="62"/>
    </row>
    <row r="28" spans="1:46" s="10" customFormat="1" ht="15" customHeight="1">
      <c r="A28" s="539" t="s">
        <v>493</v>
      </c>
      <c r="B28" s="526"/>
      <c r="C28" s="470"/>
      <c r="D28" s="470"/>
      <c r="E28" s="470"/>
      <c r="F28" s="470"/>
      <c r="G28" s="470"/>
      <c r="H28" s="471"/>
      <c r="I28" s="471"/>
      <c r="J28" s="240" t="s">
        <v>196</v>
      </c>
      <c r="K28" s="65" t="s">
        <v>212</v>
      </c>
      <c r="L28" s="72" t="s">
        <v>124</v>
      </c>
      <c r="M28" s="72" t="s">
        <v>203</v>
      </c>
      <c r="N28" s="268">
        <v>40907</v>
      </c>
      <c r="O28" s="68" t="s">
        <v>12</v>
      </c>
      <c r="P28" s="325">
        <v>60</v>
      </c>
      <c r="Q28" s="326">
        <v>32</v>
      </c>
      <c r="R28" s="326">
        <v>4</v>
      </c>
      <c r="S28" s="327">
        <v>8152</v>
      </c>
      <c r="T28" s="503">
        <v>1131</v>
      </c>
      <c r="U28" s="504">
        <v>8618</v>
      </c>
      <c r="V28" s="503">
        <v>1141</v>
      </c>
      <c r="W28" s="504">
        <v>10891</v>
      </c>
      <c r="X28" s="503">
        <v>1476</v>
      </c>
      <c r="Y28" s="486">
        <f t="shared" si="0"/>
        <v>27661</v>
      </c>
      <c r="Z28" s="487">
        <f t="shared" si="1"/>
        <v>3748</v>
      </c>
      <c r="AA28" s="328">
        <f t="shared" si="2"/>
        <v>117.125</v>
      </c>
      <c r="AB28" s="329">
        <f t="shared" si="3"/>
        <v>7.380202774813234</v>
      </c>
      <c r="AC28" s="330">
        <v>33956</v>
      </c>
      <c r="AD28" s="331">
        <f t="shared" si="4"/>
        <v>-0.18538697137472024</v>
      </c>
      <c r="AE28" s="332">
        <f t="shared" si="5"/>
        <v>25481</v>
      </c>
      <c r="AF28" s="328">
        <f t="shared" si="6"/>
        <v>3728</v>
      </c>
      <c r="AG28" s="367">
        <v>53142</v>
      </c>
      <c r="AH28" s="368">
        <v>7476</v>
      </c>
      <c r="AI28" s="331">
        <f t="shared" si="7"/>
        <v>0.5013376136971642</v>
      </c>
      <c r="AJ28" s="331">
        <f t="shared" si="8"/>
        <v>0.4986623863028357</v>
      </c>
      <c r="AK28" s="328">
        <f t="shared" si="9"/>
        <v>233.625</v>
      </c>
      <c r="AL28" s="329">
        <f t="shared" si="10"/>
        <v>7.108346709470305</v>
      </c>
      <c r="AM28" s="333">
        <v>58983</v>
      </c>
      <c r="AN28" s="331">
        <f t="shared" si="11"/>
        <v>-0.09902853364528763</v>
      </c>
      <c r="AO28" s="333">
        <v>661630</v>
      </c>
      <c r="AP28" s="334">
        <v>65944</v>
      </c>
      <c r="AQ28" s="337">
        <f t="shared" si="12"/>
        <v>10.033209996360549</v>
      </c>
      <c r="AR28" s="266">
        <v>40928</v>
      </c>
      <c r="AS28" s="494">
        <v>20</v>
      </c>
      <c r="AT28" s="306"/>
    </row>
    <row r="29" spans="1:46" s="10" customFormat="1" ht="15" customHeight="1">
      <c r="A29" s="539" t="s">
        <v>494</v>
      </c>
      <c r="B29" s="526"/>
      <c r="C29" s="470"/>
      <c r="D29" s="470"/>
      <c r="E29" s="470"/>
      <c r="F29" s="470"/>
      <c r="G29" s="470"/>
      <c r="H29" s="471"/>
      <c r="I29" s="471"/>
      <c r="J29" s="238" t="s">
        <v>341</v>
      </c>
      <c r="K29" s="65" t="s">
        <v>342</v>
      </c>
      <c r="L29" s="70" t="s">
        <v>189</v>
      </c>
      <c r="M29" s="70" t="s">
        <v>343</v>
      </c>
      <c r="N29" s="269">
        <v>40914</v>
      </c>
      <c r="O29" s="68" t="s">
        <v>8</v>
      </c>
      <c r="P29" s="339">
        <v>36</v>
      </c>
      <c r="Q29" s="340">
        <v>29</v>
      </c>
      <c r="R29" s="340">
        <v>3</v>
      </c>
      <c r="S29" s="501">
        <v>8299</v>
      </c>
      <c r="T29" s="502">
        <v>719</v>
      </c>
      <c r="U29" s="501">
        <v>10581</v>
      </c>
      <c r="V29" s="502">
        <v>863</v>
      </c>
      <c r="W29" s="501">
        <v>11611</v>
      </c>
      <c r="X29" s="502">
        <v>1036</v>
      </c>
      <c r="Y29" s="486">
        <f t="shared" si="0"/>
        <v>30491</v>
      </c>
      <c r="Z29" s="487">
        <f t="shared" si="1"/>
        <v>2618</v>
      </c>
      <c r="AA29" s="328">
        <f t="shared" si="2"/>
        <v>90.27586206896552</v>
      </c>
      <c r="AB29" s="329">
        <f t="shared" si="3"/>
        <v>11.646676852559205</v>
      </c>
      <c r="AC29" s="347">
        <v>98627</v>
      </c>
      <c r="AD29" s="331">
        <f t="shared" si="4"/>
        <v>-0.6908453060520953</v>
      </c>
      <c r="AE29" s="332">
        <f t="shared" si="5"/>
        <v>21763</v>
      </c>
      <c r="AF29" s="328">
        <f t="shared" si="6"/>
        <v>2191</v>
      </c>
      <c r="AG29" s="555">
        <v>52254</v>
      </c>
      <c r="AH29" s="556">
        <v>4809</v>
      </c>
      <c r="AI29" s="331">
        <f t="shared" si="7"/>
        <v>0.5443959243085881</v>
      </c>
      <c r="AJ29" s="331">
        <f t="shared" si="8"/>
        <v>0.4556040756914119</v>
      </c>
      <c r="AK29" s="328">
        <f t="shared" si="9"/>
        <v>165.82758620689654</v>
      </c>
      <c r="AL29" s="329">
        <f t="shared" si="10"/>
        <v>10.865876481597006</v>
      </c>
      <c r="AM29" s="343">
        <v>155690</v>
      </c>
      <c r="AN29" s="331">
        <f t="shared" si="11"/>
        <v>-0.6643715074828184</v>
      </c>
      <c r="AO29" s="341">
        <v>481822</v>
      </c>
      <c r="AP29" s="342">
        <v>40065</v>
      </c>
      <c r="AQ29" s="337">
        <f t="shared" si="12"/>
        <v>12.026007737426681</v>
      </c>
      <c r="AR29" s="266">
        <v>40928</v>
      </c>
      <c r="AS29" s="494">
        <v>14</v>
      </c>
      <c r="AT29" s="62"/>
    </row>
    <row r="30" spans="1:46" s="10" customFormat="1" ht="15" customHeight="1">
      <c r="A30" s="539" t="s">
        <v>495</v>
      </c>
      <c r="B30" s="526"/>
      <c r="C30" s="473" t="s">
        <v>261</v>
      </c>
      <c r="D30" s="540"/>
      <c r="E30" s="540"/>
      <c r="F30" s="470"/>
      <c r="G30" s="481" t="s">
        <v>292</v>
      </c>
      <c r="H30" s="472"/>
      <c r="I30" s="474" t="s">
        <v>54</v>
      </c>
      <c r="J30" s="253" t="s">
        <v>110</v>
      </c>
      <c r="K30" s="65" t="s">
        <v>113</v>
      </c>
      <c r="L30" s="65"/>
      <c r="M30" s="65" t="s">
        <v>110</v>
      </c>
      <c r="N30" s="268">
        <v>40879</v>
      </c>
      <c r="O30" s="68" t="s">
        <v>53</v>
      </c>
      <c r="P30" s="325">
        <v>135</v>
      </c>
      <c r="Q30" s="510">
        <v>40</v>
      </c>
      <c r="R30" s="510">
        <v>8</v>
      </c>
      <c r="S30" s="504">
        <v>11570</v>
      </c>
      <c r="T30" s="503">
        <v>1759</v>
      </c>
      <c r="U30" s="504">
        <v>8744.5</v>
      </c>
      <c r="V30" s="503">
        <v>1332</v>
      </c>
      <c r="W30" s="504">
        <v>11202</v>
      </c>
      <c r="X30" s="503">
        <v>1726</v>
      </c>
      <c r="Y30" s="486">
        <f t="shared" si="0"/>
        <v>31516.5</v>
      </c>
      <c r="Z30" s="487">
        <f t="shared" si="1"/>
        <v>4817</v>
      </c>
      <c r="AA30" s="328">
        <f t="shared" si="2"/>
        <v>120.425</v>
      </c>
      <c r="AB30" s="329">
        <f t="shared" si="3"/>
        <v>6.5427652065601</v>
      </c>
      <c r="AC30" s="330">
        <v>37074</v>
      </c>
      <c r="AD30" s="331">
        <f t="shared" si="4"/>
        <v>-0.14990289690888492</v>
      </c>
      <c r="AE30" s="332">
        <f t="shared" si="5"/>
        <v>18964</v>
      </c>
      <c r="AF30" s="328">
        <f t="shared" si="6"/>
        <v>2910</v>
      </c>
      <c r="AG30" s="367">
        <v>50480.5</v>
      </c>
      <c r="AH30" s="368">
        <v>7727</v>
      </c>
      <c r="AI30" s="331">
        <f t="shared" si="7"/>
        <v>0.6233984728872783</v>
      </c>
      <c r="AJ30" s="331">
        <f t="shared" si="8"/>
        <v>0.3766015271127216</v>
      </c>
      <c r="AK30" s="328">
        <f t="shared" si="9"/>
        <v>193.175</v>
      </c>
      <c r="AL30" s="329">
        <f t="shared" si="10"/>
        <v>6.533001164746991</v>
      </c>
      <c r="AM30" s="333">
        <v>70692.5</v>
      </c>
      <c r="AN30" s="331">
        <f t="shared" si="11"/>
        <v>-0.28591434734943594</v>
      </c>
      <c r="AO30" s="333">
        <f>1709882.25+1194489.75+708906.5+376327+70+197271.5+73341.5+70692.5+50480.5</f>
        <v>4381461.5</v>
      </c>
      <c r="AP30" s="334">
        <f>195314+135261+80447+45395+10+25625+10302+10950+7727</f>
        <v>511031</v>
      </c>
      <c r="AQ30" s="337">
        <f t="shared" si="12"/>
        <v>8.57376851893525</v>
      </c>
      <c r="AR30" s="266">
        <v>40928</v>
      </c>
      <c r="AS30" s="494">
        <v>16</v>
      </c>
      <c r="AT30" s="62"/>
    </row>
    <row r="31" spans="1:46" s="10" customFormat="1" ht="15" customHeight="1">
      <c r="A31" s="539" t="s">
        <v>496</v>
      </c>
      <c r="B31" s="526"/>
      <c r="C31" s="470"/>
      <c r="D31" s="540"/>
      <c r="E31" s="540"/>
      <c r="F31" s="470"/>
      <c r="G31" s="540"/>
      <c r="H31" s="471"/>
      <c r="I31" s="472"/>
      <c r="J31" s="256" t="s">
        <v>374</v>
      </c>
      <c r="K31" s="65" t="s">
        <v>376</v>
      </c>
      <c r="L31" s="68" t="s">
        <v>260</v>
      </c>
      <c r="M31" s="68" t="s">
        <v>375</v>
      </c>
      <c r="N31" s="268">
        <v>40921</v>
      </c>
      <c r="O31" s="68" t="s">
        <v>332</v>
      </c>
      <c r="P31" s="325">
        <v>16</v>
      </c>
      <c r="Q31" s="326">
        <v>15</v>
      </c>
      <c r="R31" s="326">
        <v>2</v>
      </c>
      <c r="S31" s="335">
        <v>6253</v>
      </c>
      <c r="T31" s="336">
        <v>505</v>
      </c>
      <c r="U31" s="335">
        <v>10200</v>
      </c>
      <c r="V31" s="336">
        <v>777</v>
      </c>
      <c r="W31" s="335">
        <v>10629.5</v>
      </c>
      <c r="X31" s="336">
        <v>807</v>
      </c>
      <c r="Y31" s="486">
        <f t="shared" si="0"/>
        <v>27082.5</v>
      </c>
      <c r="Z31" s="487">
        <f t="shared" si="1"/>
        <v>2089</v>
      </c>
      <c r="AA31" s="328">
        <f t="shared" si="2"/>
        <v>139.26666666666668</v>
      </c>
      <c r="AB31" s="329">
        <f t="shared" si="3"/>
        <v>12.964337003350886</v>
      </c>
      <c r="AC31" s="345">
        <v>38005.5</v>
      </c>
      <c r="AD31" s="331">
        <f t="shared" si="4"/>
        <v>-0.28740577021746855</v>
      </c>
      <c r="AE31" s="332">
        <f t="shared" si="5"/>
        <v>18879</v>
      </c>
      <c r="AF31" s="328">
        <f t="shared" si="6"/>
        <v>1719</v>
      </c>
      <c r="AG31" s="367">
        <v>45961.5</v>
      </c>
      <c r="AH31" s="368">
        <v>3808</v>
      </c>
      <c r="AI31" s="331">
        <f t="shared" si="7"/>
        <v>0.5485819327731093</v>
      </c>
      <c r="AJ31" s="331">
        <f t="shared" si="8"/>
        <v>0.45141806722689076</v>
      </c>
      <c r="AK31" s="328">
        <f t="shared" si="9"/>
        <v>253.86666666666667</v>
      </c>
      <c r="AL31" s="329">
        <f t="shared" si="10"/>
        <v>12.069721638655462</v>
      </c>
      <c r="AM31" s="343">
        <v>63901</v>
      </c>
      <c r="AN31" s="331">
        <f t="shared" si="11"/>
        <v>-0.28073895557190026</v>
      </c>
      <c r="AO31" s="333">
        <v>109862.5</v>
      </c>
      <c r="AP31" s="334">
        <v>8935</v>
      </c>
      <c r="AQ31" s="337">
        <f t="shared" si="12"/>
        <v>12.295747062115277</v>
      </c>
      <c r="AR31" s="266">
        <v>40928</v>
      </c>
      <c r="AS31" s="494">
        <v>18</v>
      </c>
      <c r="AT31" s="62"/>
    </row>
    <row r="32" spans="1:45" s="10" customFormat="1" ht="15" customHeight="1">
      <c r="A32" s="539" t="s">
        <v>497</v>
      </c>
      <c r="B32" s="526"/>
      <c r="C32" s="473" t="s">
        <v>261</v>
      </c>
      <c r="D32" s="470"/>
      <c r="E32" s="470"/>
      <c r="F32" s="470"/>
      <c r="G32" s="470"/>
      <c r="H32" s="543"/>
      <c r="I32" s="474" t="s">
        <v>54</v>
      </c>
      <c r="J32" s="240" t="s">
        <v>104</v>
      </c>
      <c r="K32" s="65" t="s">
        <v>105</v>
      </c>
      <c r="L32" s="68"/>
      <c r="M32" s="68" t="s">
        <v>104</v>
      </c>
      <c r="N32" s="269">
        <v>40872</v>
      </c>
      <c r="O32" s="68" t="s">
        <v>10</v>
      </c>
      <c r="P32" s="325">
        <v>277</v>
      </c>
      <c r="Q32" s="344">
        <v>30</v>
      </c>
      <c r="R32" s="344">
        <v>9</v>
      </c>
      <c r="S32" s="499">
        <v>4331</v>
      </c>
      <c r="T32" s="500">
        <v>715</v>
      </c>
      <c r="U32" s="499">
        <v>7965</v>
      </c>
      <c r="V32" s="500">
        <v>1095</v>
      </c>
      <c r="W32" s="499">
        <v>8360</v>
      </c>
      <c r="X32" s="500">
        <v>1202</v>
      </c>
      <c r="Y32" s="486">
        <f t="shared" si="0"/>
        <v>20656</v>
      </c>
      <c r="Z32" s="487">
        <f t="shared" si="1"/>
        <v>3012</v>
      </c>
      <c r="AA32" s="328">
        <f t="shared" si="2"/>
        <v>100.4</v>
      </c>
      <c r="AB32" s="329">
        <f t="shared" si="3"/>
        <v>6.857901726427623</v>
      </c>
      <c r="AC32" s="345">
        <v>36410</v>
      </c>
      <c r="AD32" s="331">
        <f t="shared" si="4"/>
        <v>-0.4326833287558363</v>
      </c>
      <c r="AE32" s="332">
        <f t="shared" si="5"/>
        <v>18589</v>
      </c>
      <c r="AF32" s="328">
        <f t="shared" si="6"/>
        <v>2876</v>
      </c>
      <c r="AG32" s="555">
        <v>39245</v>
      </c>
      <c r="AH32" s="556">
        <v>5888</v>
      </c>
      <c r="AI32" s="331">
        <f t="shared" si="7"/>
        <v>0.5115489130434783</v>
      </c>
      <c r="AJ32" s="331">
        <f t="shared" si="8"/>
        <v>0.48845108695652173</v>
      </c>
      <c r="AK32" s="328">
        <f t="shared" si="9"/>
        <v>196.26666666666668</v>
      </c>
      <c r="AL32" s="329">
        <f t="shared" si="10"/>
        <v>6.665251358695652</v>
      </c>
      <c r="AM32" s="343">
        <v>64482</v>
      </c>
      <c r="AN32" s="331">
        <f t="shared" si="11"/>
        <v>-0.39138054030582176</v>
      </c>
      <c r="AO32" s="341">
        <v>10931231</v>
      </c>
      <c r="AP32" s="342">
        <v>1169145</v>
      </c>
      <c r="AQ32" s="337">
        <f t="shared" si="12"/>
        <v>9.349764999208823</v>
      </c>
      <c r="AR32" s="266">
        <v>40928</v>
      </c>
      <c r="AS32" s="494">
        <v>17</v>
      </c>
    </row>
    <row r="33" spans="1:45" s="10" customFormat="1" ht="15" customHeight="1">
      <c r="A33" s="539" t="s">
        <v>498</v>
      </c>
      <c r="B33" s="526"/>
      <c r="C33" s="470"/>
      <c r="D33" s="470"/>
      <c r="E33" s="470"/>
      <c r="F33" s="470"/>
      <c r="G33" s="470"/>
      <c r="H33" s="471"/>
      <c r="I33" s="471"/>
      <c r="J33" s="243" t="s">
        <v>224</v>
      </c>
      <c r="K33" s="65" t="s">
        <v>193</v>
      </c>
      <c r="L33" s="69" t="s">
        <v>128</v>
      </c>
      <c r="M33" s="67" t="s">
        <v>191</v>
      </c>
      <c r="N33" s="269">
        <v>40907</v>
      </c>
      <c r="O33" s="68" t="s">
        <v>68</v>
      </c>
      <c r="P33" s="325">
        <v>19</v>
      </c>
      <c r="Q33" s="326">
        <v>13</v>
      </c>
      <c r="R33" s="326">
        <v>4</v>
      </c>
      <c r="S33" s="506">
        <v>3357.5</v>
      </c>
      <c r="T33" s="507">
        <v>339</v>
      </c>
      <c r="U33" s="506">
        <v>4662.5</v>
      </c>
      <c r="V33" s="507">
        <v>429</v>
      </c>
      <c r="W33" s="506">
        <v>4869</v>
      </c>
      <c r="X33" s="507">
        <v>468</v>
      </c>
      <c r="Y33" s="486">
        <f t="shared" si="0"/>
        <v>12889</v>
      </c>
      <c r="Z33" s="487">
        <f t="shared" si="1"/>
        <v>1236</v>
      </c>
      <c r="AA33" s="328">
        <f t="shared" si="2"/>
        <v>95.07692307692308</v>
      </c>
      <c r="AB33" s="329">
        <f t="shared" si="3"/>
        <v>10.427993527508091</v>
      </c>
      <c r="AC33" s="330">
        <v>18577</v>
      </c>
      <c r="AD33" s="331">
        <f t="shared" si="4"/>
        <v>-0.3061850675566561</v>
      </c>
      <c r="AE33" s="332">
        <f t="shared" si="5"/>
        <v>8215.5</v>
      </c>
      <c r="AF33" s="328">
        <f t="shared" si="6"/>
        <v>896</v>
      </c>
      <c r="AG33" s="371">
        <v>21104.5</v>
      </c>
      <c r="AH33" s="372">
        <v>2132</v>
      </c>
      <c r="AI33" s="331">
        <f t="shared" si="7"/>
        <v>0.5797373358348968</v>
      </c>
      <c r="AJ33" s="331">
        <f t="shared" si="8"/>
        <v>0.4202626641651032</v>
      </c>
      <c r="AK33" s="328">
        <f t="shared" si="9"/>
        <v>164</v>
      </c>
      <c r="AL33" s="329">
        <f t="shared" si="10"/>
        <v>9.898921200750468</v>
      </c>
      <c r="AM33" s="343">
        <v>28332.5</v>
      </c>
      <c r="AN33" s="331">
        <f t="shared" si="11"/>
        <v>-0.25511338568781433</v>
      </c>
      <c r="AO33" s="343">
        <f>108631+115157+28332.5+21104.5</f>
        <v>273225</v>
      </c>
      <c r="AP33" s="348">
        <f>8552+8628+2468+2132</f>
        <v>21780</v>
      </c>
      <c r="AQ33" s="337">
        <f t="shared" si="12"/>
        <v>12.544765840220386</v>
      </c>
      <c r="AR33" s="266">
        <v>40928</v>
      </c>
      <c r="AS33" s="494">
        <v>21</v>
      </c>
    </row>
    <row r="34" spans="1:45" s="10" customFormat="1" ht="15" customHeight="1">
      <c r="A34" s="539" t="s">
        <v>499</v>
      </c>
      <c r="B34" s="526"/>
      <c r="C34" s="473" t="s">
        <v>261</v>
      </c>
      <c r="D34" s="470"/>
      <c r="E34" s="470"/>
      <c r="F34" s="470"/>
      <c r="G34" s="470"/>
      <c r="H34" s="471"/>
      <c r="I34" s="474" t="s">
        <v>54</v>
      </c>
      <c r="J34" s="243" t="s">
        <v>67</v>
      </c>
      <c r="K34" s="67" t="s">
        <v>85</v>
      </c>
      <c r="L34" s="67"/>
      <c r="M34" s="67" t="s">
        <v>67</v>
      </c>
      <c r="N34" s="268">
        <v>40844</v>
      </c>
      <c r="O34" s="68" t="s">
        <v>68</v>
      </c>
      <c r="P34" s="325">
        <v>278</v>
      </c>
      <c r="Q34" s="326">
        <v>9</v>
      </c>
      <c r="R34" s="326">
        <v>13</v>
      </c>
      <c r="S34" s="506">
        <v>2437</v>
      </c>
      <c r="T34" s="507">
        <v>441</v>
      </c>
      <c r="U34" s="506">
        <v>2500</v>
      </c>
      <c r="V34" s="507">
        <v>283</v>
      </c>
      <c r="W34" s="506">
        <v>3273</v>
      </c>
      <c r="X34" s="507">
        <v>546</v>
      </c>
      <c r="Y34" s="486">
        <f t="shared" si="0"/>
        <v>8210</v>
      </c>
      <c r="Z34" s="487">
        <f t="shared" si="1"/>
        <v>1270</v>
      </c>
      <c r="AA34" s="328">
        <f t="shared" si="2"/>
        <v>141.11111111111111</v>
      </c>
      <c r="AB34" s="329">
        <f t="shared" si="3"/>
        <v>6.464566929133858</v>
      </c>
      <c r="AC34" s="330">
        <v>10178</v>
      </c>
      <c r="AD34" s="331">
        <f t="shared" si="4"/>
        <v>-0.1933582236195716</v>
      </c>
      <c r="AE34" s="332">
        <f t="shared" si="5"/>
        <v>9016.5</v>
      </c>
      <c r="AF34" s="328">
        <f t="shared" si="6"/>
        <v>820</v>
      </c>
      <c r="AG34" s="371">
        <v>17226.5</v>
      </c>
      <c r="AH34" s="372">
        <v>2090</v>
      </c>
      <c r="AI34" s="331">
        <f t="shared" si="7"/>
        <v>0.6076555023923444</v>
      </c>
      <c r="AJ34" s="331">
        <f t="shared" si="8"/>
        <v>0.3923444976076555</v>
      </c>
      <c r="AK34" s="328">
        <f t="shared" si="9"/>
        <v>232.22222222222223</v>
      </c>
      <c r="AL34" s="329">
        <f t="shared" si="10"/>
        <v>8.242344497607656</v>
      </c>
      <c r="AM34" s="343"/>
      <c r="AN34" s="331">
        <f t="shared" si="11"/>
      </c>
      <c r="AO34" s="343">
        <f>2021467.25+4147826.75+1641146.5+1086471.5+837723.5+353523.5+115157+12431.5+1554+13261.5+3397.5+17222.5+17226.5</f>
        <v>10268409.5</v>
      </c>
      <c r="AP34" s="348">
        <f>231121+459388+190384+130345+104513+46481+14878+1830+250+1860+737+1888+2090</f>
        <v>1185765</v>
      </c>
      <c r="AQ34" s="337">
        <f t="shared" si="12"/>
        <v>8.659734011376623</v>
      </c>
      <c r="AR34" s="266">
        <v>40928</v>
      </c>
      <c r="AS34" s="494">
        <v>22</v>
      </c>
    </row>
    <row r="35" spans="1:46" s="10" customFormat="1" ht="15" customHeight="1">
      <c r="A35" s="539" t="s">
        <v>500</v>
      </c>
      <c r="B35" s="526"/>
      <c r="C35" s="470"/>
      <c r="D35" s="470"/>
      <c r="E35" s="470"/>
      <c r="F35" s="470"/>
      <c r="G35" s="470"/>
      <c r="H35" s="471"/>
      <c r="I35" s="471"/>
      <c r="J35" s="249" t="s">
        <v>214</v>
      </c>
      <c r="K35" s="70" t="s">
        <v>216</v>
      </c>
      <c r="L35" s="68" t="s">
        <v>95</v>
      </c>
      <c r="M35" s="70" t="s">
        <v>215</v>
      </c>
      <c r="N35" s="268">
        <v>40907</v>
      </c>
      <c r="O35" s="68" t="s">
        <v>10</v>
      </c>
      <c r="P35" s="356">
        <v>64</v>
      </c>
      <c r="Q35" s="344">
        <v>7</v>
      </c>
      <c r="R35" s="344">
        <v>4</v>
      </c>
      <c r="S35" s="499">
        <v>2412</v>
      </c>
      <c r="T35" s="500">
        <v>319</v>
      </c>
      <c r="U35" s="499">
        <v>1771</v>
      </c>
      <c r="V35" s="500">
        <v>226</v>
      </c>
      <c r="W35" s="499">
        <v>2418</v>
      </c>
      <c r="X35" s="500">
        <v>298</v>
      </c>
      <c r="Y35" s="486">
        <f t="shared" si="0"/>
        <v>6601</v>
      </c>
      <c r="Z35" s="487">
        <f t="shared" si="1"/>
        <v>843</v>
      </c>
      <c r="AA35" s="328">
        <f t="shared" si="2"/>
        <v>120.42857142857143</v>
      </c>
      <c r="AB35" s="329">
        <f t="shared" si="3"/>
        <v>7.8303677342823255</v>
      </c>
      <c r="AC35" s="330">
        <v>35602</v>
      </c>
      <c r="AD35" s="331">
        <f t="shared" si="4"/>
        <v>-0.814589068029886</v>
      </c>
      <c r="AE35" s="332">
        <f t="shared" si="5"/>
        <v>6498</v>
      </c>
      <c r="AF35" s="328">
        <f t="shared" si="6"/>
        <v>860</v>
      </c>
      <c r="AG35" s="555">
        <v>13099</v>
      </c>
      <c r="AH35" s="556">
        <v>1703</v>
      </c>
      <c r="AI35" s="331">
        <f t="shared" si="7"/>
        <v>0.49500880798590724</v>
      </c>
      <c r="AJ35" s="331">
        <f t="shared" si="8"/>
        <v>0.5049911920140928</v>
      </c>
      <c r="AK35" s="328">
        <f t="shared" si="9"/>
        <v>243.28571428571428</v>
      </c>
      <c r="AL35" s="329">
        <f t="shared" si="10"/>
        <v>7.691720493247211</v>
      </c>
      <c r="AM35" s="343">
        <v>63689</v>
      </c>
      <c r="AN35" s="331">
        <f t="shared" si="11"/>
        <v>-0.7943286909827443</v>
      </c>
      <c r="AO35" s="341">
        <v>674908</v>
      </c>
      <c r="AP35" s="342">
        <v>59660</v>
      </c>
      <c r="AQ35" s="337">
        <f t="shared" si="12"/>
        <v>11.312571237009722</v>
      </c>
      <c r="AR35" s="266">
        <v>40928</v>
      </c>
      <c r="AS35" s="494">
        <v>19</v>
      </c>
      <c r="AT35" s="305"/>
    </row>
    <row r="36" spans="1:46" s="10" customFormat="1" ht="15" customHeight="1">
      <c r="A36" s="539" t="s">
        <v>501</v>
      </c>
      <c r="B36" s="541"/>
      <c r="C36" s="473" t="s">
        <v>261</v>
      </c>
      <c r="D36" s="540"/>
      <c r="E36" s="540"/>
      <c r="F36" s="470"/>
      <c r="G36" s="540"/>
      <c r="H36" s="471"/>
      <c r="I36" s="472"/>
      <c r="J36" s="256" t="s">
        <v>378</v>
      </c>
      <c r="K36" s="65" t="s">
        <v>377</v>
      </c>
      <c r="L36" s="68" t="s">
        <v>248</v>
      </c>
      <c r="M36" s="68" t="s">
        <v>379</v>
      </c>
      <c r="N36" s="268">
        <v>40893</v>
      </c>
      <c r="O36" s="68" t="s">
        <v>332</v>
      </c>
      <c r="P36" s="325">
        <v>8</v>
      </c>
      <c r="Q36" s="326">
        <v>7</v>
      </c>
      <c r="R36" s="326">
        <v>4</v>
      </c>
      <c r="S36" s="335">
        <v>1501.5</v>
      </c>
      <c r="T36" s="336">
        <v>162</v>
      </c>
      <c r="U36" s="335">
        <v>2762.5</v>
      </c>
      <c r="V36" s="336">
        <v>296</v>
      </c>
      <c r="W36" s="335">
        <v>1662.5</v>
      </c>
      <c r="X36" s="336">
        <v>201</v>
      </c>
      <c r="Y36" s="486">
        <f t="shared" si="0"/>
        <v>5926.5</v>
      </c>
      <c r="Z36" s="487">
        <f t="shared" si="1"/>
        <v>659</v>
      </c>
      <c r="AA36" s="328">
        <f t="shared" si="2"/>
        <v>94.14285714285714</v>
      </c>
      <c r="AB36" s="329">
        <f t="shared" si="3"/>
        <v>8.993171471927162</v>
      </c>
      <c r="AC36" s="345">
        <v>97</v>
      </c>
      <c r="AD36" s="331">
        <f t="shared" si="4"/>
        <v>60.097938144329895</v>
      </c>
      <c r="AE36" s="332">
        <f t="shared" si="5"/>
        <v>4505</v>
      </c>
      <c r="AF36" s="328">
        <f t="shared" si="6"/>
        <v>527</v>
      </c>
      <c r="AG36" s="367">
        <v>10431.5</v>
      </c>
      <c r="AH36" s="368">
        <v>1186</v>
      </c>
      <c r="AI36" s="331">
        <f t="shared" si="7"/>
        <v>0.5556492411467117</v>
      </c>
      <c r="AJ36" s="331">
        <f t="shared" si="8"/>
        <v>0.44435075885328834</v>
      </c>
      <c r="AK36" s="328">
        <f t="shared" si="9"/>
        <v>169.42857142857142</v>
      </c>
      <c r="AL36" s="329">
        <f t="shared" si="10"/>
        <v>8.795531197301855</v>
      </c>
      <c r="AM36" s="343">
        <v>113</v>
      </c>
      <c r="AN36" s="331">
        <f t="shared" si="11"/>
        <v>91.3141592920354</v>
      </c>
      <c r="AO36" s="333">
        <v>34975.5</v>
      </c>
      <c r="AP36" s="334">
        <v>3096</v>
      </c>
      <c r="AQ36" s="337">
        <f t="shared" si="12"/>
        <v>11.296996124031008</v>
      </c>
      <c r="AR36" s="266">
        <v>40928</v>
      </c>
      <c r="AS36" s="494">
        <v>62</v>
      </c>
      <c r="AT36" s="62"/>
    </row>
    <row r="37" spans="1:46" s="10" customFormat="1" ht="15" customHeight="1">
      <c r="A37" s="539" t="s">
        <v>502</v>
      </c>
      <c r="B37" s="526"/>
      <c r="C37" s="473" t="s">
        <v>261</v>
      </c>
      <c r="D37" s="470"/>
      <c r="E37" s="470"/>
      <c r="F37" s="470"/>
      <c r="G37" s="470"/>
      <c r="H37" s="471"/>
      <c r="I37" s="471"/>
      <c r="J37" s="238" t="s">
        <v>149</v>
      </c>
      <c r="K37" s="65" t="s">
        <v>184</v>
      </c>
      <c r="L37" s="70" t="s">
        <v>189</v>
      </c>
      <c r="M37" s="70" t="s">
        <v>150</v>
      </c>
      <c r="N37" s="269">
        <v>40830</v>
      </c>
      <c r="O37" s="68" t="s">
        <v>8</v>
      </c>
      <c r="P37" s="339">
        <v>60</v>
      </c>
      <c r="Q37" s="340">
        <v>4</v>
      </c>
      <c r="R37" s="340">
        <v>11</v>
      </c>
      <c r="S37" s="499">
        <v>1705</v>
      </c>
      <c r="T37" s="500">
        <v>257</v>
      </c>
      <c r="U37" s="499">
        <v>1301</v>
      </c>
      <c r="V37" s="500">
        <v>179</v>
      </c>
      <c r="W37" s="499">
        <v>1486</v>
      </c>
      <c r="X37" s="500">
        <v>208</v>
      </c>
      <c r="Y37" s="486">
        <f t="shared" si="0"/>
        <v>4492</v>
      </c>
      <c r="Z37" s="487">
        <f t="shared" si="1"/>
        <v>644</v>
      </c>
      <c r="AA37" s="328">
        <f t="shared" si="2"/>
        <v>161</v>
      </c>
      <c r="AB37" s="329">
        <f t="shared" si="3"/>
        <v>6.975155279503106</v>
      </c>
      <c r="AC37" s="347">
        <v>226</v>
      </c>
      <c r="AD37" s="331">
        <f t="shared" si="4"/>
        <v>18.876106194690266</v>
      </c>
      <c r="AE37" s="332">
        <f t="shared" si="5"/>
        <v>3082</v>
      </c>
      <c r="AF37" s="328">
        <f t="shared" si="6"/>
        <v>450</v>
      </c>
      <c r="AG37" s="555">
        <v>7574</v>
      </c>
      <c r="AH37" s="556">
        <v>1094</v>
      </c>
      <c r="AI37" s="331">
        <f t="shared" si="7"/>
        <v>0.5886654478976234</v>
      </c>
      <c r="AJ37" s="331">
        <f t="shared" si="8"/>
        <v>0.4113345521023766</v>
      </c>
      <c r="AK37" s="328">
        <f t="shared" si="9"/>
        <v>273.5</v>
      </c>
      <c r="AL37" s="329">
        <f t="shared" si="10"/>
        <v>6.923217550274223</v>
      </c>
      <c r="AM37" s="343">
        <v>317</v>
      </c>
      <c r="AN37" s="331">
        <f t="shared" si="11"/>
        <v>22.892744479495267</v>
      </c>
      <c r="AO37" s="341">
        <v>393915</v>
      </c>
      <c r="AP37" s="342">
        <v>41412</v>
      </c>
      <c r="AQ37" s="337">
        <f t="shared" si="12"/>
        <v>9.512097942625326</v>
      </c>
      <c r="AR37" s="266">
        <v>40928</v>
      </c>
      <c r="AS37" s="493" t="s">
        <v>349</v>
      </c>
      <c r="AT37" s="62"/>
    </row>
    <row r="38" spans="1:46" s="10" customFormat="1" ht="15" customHeight="1">
      <c r="A38" s="539" t="s">
        <v>503</v>
      </c>
      <c r="B38" s="526"/>
      <c r="C38" s="473" t="s">
        <v>261</v>
      </c>
      <c r="D38" s="482" t="s">
        <v>223</v>
      </c>
      <c r="E38" s="470"/>
      <c r="F38" s="540"/>
      <c r="G38" s="481" t="s">
        <v>292</v>
      </c>
      <c r="H38" s="475" t="s">
        <v>55</v>
      </c>
      <c r="I38" s="472"/>
      <c r="J38" s="243" t="s">
        <v>448</v>
      </c>
      <c r="K38" s="67" t="s">
        <v>465</v>
      </c>
      <c r="L38" s="67" t="s">
        <v>89</v>
      </c>
      <c r="M38" s="67" t="s">
        <v>474</v>
      </c>
      <c r="N38" s="268">
        <v>40697</v>
      </c>
      <c r="O38" s="68" t="s">
        <v>68</v>
      </c>
      <c r="P38" s="325">
        <v>71</v>
      </c>
      <c r="Q38" s="326">
        <v>2</v>
      </c>
      <c r="R38" s="432">
        <v>31</v>
      </c>
      <c r="S38" s="506">
        <v>0</v>
      </c>
      <c r="T38" s="507">
        <v>0</v>
      </c>
      <c r="U38" s="506">
        <v>0</v>
      </c>
      <c r="V38" s="507">
        <v>0</v>
      </c>
      <c r="W38" s="506">
        <v>0</v>
      </c>
      <c r="X38" s="507">
        <v>0</v>
      </c>
      <c r="Y38" s="486">
        <f t="shared" si="0"/>
        <v>0</v>
      </c>
      <c r="Z38" s="487">
        <f t="shared" si="1"/>
        <v>0</v>
      </c>
      <c r="AA38" s="328"/>
      <c r="AB38" s="329"/>
      <c r="AC38" s="330"/>
      <c r="AD38" s="331"/>
      <c r="AE38" s="332">
        <f t="shared" si="5"/>
        <v>7128</v>
      </c>
      <c r="AF38" s="328">
        <f t="shared" si="6"/>
        <v>1783</v>
      </c>
      <c r="AG38" s="371">
        <v>7128</v>
      </c>
      <c r="AH38" s="372">
        <v>1783</v>
      </c>
      <c r="AI38" s="331">
        <f t="shared" si="7"/>
        <v>0</v>
      </c>
      <c r="AJ38" s="331">
        <f t="shared" si="8"/>
        <v>1</v>
      </c>
      <c r="AK38" s="328">
        <f t="shared" si="9"/>
        <v>891.5</v>
      </c>
      <c r="AL38" s="329">
        <f t="shared" si="10"/>
        <v>3.9977565900168255</v>
      </c>
      <c r="AM38" s="343"/>
      <c r="AN38" s="331">
        <f t="shared" si="11"/>
      </c>
      <c r="AO38" s="343">
        <f>204018.5+92011.75+38624.5+27400+22817+12697.5+8373+8455.5+6781+2290+2830+1048+3163+3005+2166+6840+1490+14+6415.5+3721.5+7267.5+3007+701.5+608.5+3931+316+1244+768+1787+1197+7128</f>
        <v>482117.25</v>
      </c>
      <c r="AP38" s="348">
        <f>20915+10991+4900+3855+3433+1986+1329+1415+1032+399+409+237+591+657+312+1653+293+7+1605+687+1458+678+106+95+900+62+202+109+514+390+1783</f>
        <v>63003</v>
      </c>
      <c r="AQ38" s="337">
        <f t="shared" si="12"/>
        <v>7.652290367125375</v>
      </c>
      <c r="AR38" s="266">
        <v>40928</v>
      </c>
      <c r="AS38" s="494" t="s">
        <v>349</v>
      </c>
      <c r="AT38" s="62"/>
    </row>
    <row r="39" spans="1:46" s="10" customFormat="1" ht="15" customHeight="1">
      <c r="A39" s="539" t="s">
        <v>504</v>
      </c>
      <c r="B39" s="526"/>
      <c r="C39" s="473" t="s">
        <v>261</v>
      </c>
      <c r="D39" s="470"/>
      <c r="E39" s="470"/>
      <c r="F39" s="470"/>
      <c r="G39" s="470"/>
      <c r="H39" s="543"/>
      <c r="I39" s="548"/>
      <c r="J39" s="256" t="s">
        <v>117</v>
      </c>
      <c r="K39" s="65" t="s">
        <v>118</v>
      </c>
      <c r="L39" s="68" t="s">
        <v>95</v>
      </c>
      <c r="M39" s="68" t="s">
        <v>119</v>
      </c>
      <c r="N39" s="380">
        <v>40886</v>
      </c>
      <c r="O39" s="68" t="s">
        <v>10</v>
      </c>
      <c r="P39" s="325">
        <v>25</v>
      </c>
      <c r="Q39" s="344">
        <v>4</v>
      </c>
      <c r="R39" s="344">
        <v>7</v>
      </c>
      <c r="S39" s="499">
        <v>692</v>
      </c>
      <c r="T39" s="500">
        <v>86</v>
      </c>
      <c r="U39" s="499">
        <v>1135</v>
      </c>
      <c r="V39" s="500">
        <v>135</v>
      </c>
      <c r="W39" s="499">
        <v>1656</v>
      </c>
      <c r="X39" s="500">
        <v>203</v>
      </c>
      <c r="Y39" s="486">
        <f t="shared" si="0"/>
        <v>3483</v>
      </c>
      <c r="Z39" s="487">
        <f t="shared" si="1"/>
        <v>424</v>
      </c>
      <c r="AA39" s="328">
        <f aca="true" t="shared" si="13" ref="AA39:AA50">IF(Y39&lt;&gt;0,Z39/Q39,"")</f>
        <v>106</v>
      </c>
      <c r="AB39" s="329">
        <f aca="true" t="shared" si="14" ref="AB39:AB50">IF(Y39&lt;&gt;0,Y39/Z39,"")</f>
        <v>8.214622641509434</v>
      </c>
      <c r="AC39" s="345">
        <v>1289</v>
      </c>
      <c r="AD39" s="331">
        <f aca="true" t="shared" si="15" ref="AD39:AD50">IF(AC39&lt;&gt;0,-(AC39-Y39)/AC39,"")</f>
        <v>1.7020946470131886</v>
      </c>
      <c r="AE39" s="332">
        <f t="shared" si="5"/>
        <v>3119</v>
      </c>
      <c r="AF39" s="328">
        <f t="shared" si="6"/>
        <v>387</v>
      </c>
      <c r="AG39" s="555">
        <v>6602</v>
      </c>
      <c r="AH39" s="556">
        <v>811</v>
      </c>
      <c r="AI39" s="331">
        <f t="shared" si="7"/>
        <v>0.5228113440197287</v>
      </c>
      <c r="AJ39" s="331">
        <f t="shared" si="8"/>
        <v>0.47718865598027127</v>
      </c>
      <c r="AK39" s="328">
        <f t="shared" si="9"/>
        <v>202.75</v>
      </c>
      <c r="AL39" s="329">
        <f t="shared" si="10"/>
        <v>8.140567200986437</v>
      </c>
      <c r="AM39" s="343">
        <v>2380</v>
      </c>
      <c r="AN39" s="331">
        <f t="shared" si="11"/>
        <v>1.7739495798319327</v>
      </c>
      <c r="AO39" s="341">
        <v>422285</v>
      </c>
      <c r="AP39" s="342">
        <v>34230</v>
      </c>
      <c r="AQ39" s="337">
        <f t="shared" si="12"/>
        <v>12.336692959392346</v>
      </c>
      <c r="AR39" s="266">
        <v>40928</v>
      </c>
      <c r="AS39" s="494">
        <v>36</v>
      </c>
      <c r="AT39" s="62"/>
    </row>
    <row r="40" spans="1:46" s="10" customFormat="1" ht="15" customHeight="1">
      <c r="A40" s="539" t="s">
        <v>505</v>
      </c>
      <c r="B40" s="526"/>
      <c r="C40" s="473" t="s">
        <v>261</v>
      </c>
      <c r="D40" s="470"/>
      <c r="E40" s="470"/>
      <c r="F40" s="470"/>
      <c r="G40" s="470"/>
      <c r="H40" s="471"/>
      <c r="I40" s="474" t="s">
        <v>54</v>
      </c>
      <c r="J40" s="243" t="s">
        <v>143</v>
      </c>
      <c r="K40" s="65" t="s">
        <v>127</v>
      </c>
      <c r="L40" s="69"/>
      <c r="M40" s="67" t="s">
        <v>143</v>
      </c>
      <c r="N40" s="268">
        <v>40893</v>
      </c>
      <c r="O40" s="68" t="s">
        <v>68</v>
      </c>
      <c r="P40" s="325">
        <v>23</v>
      </c>
      <c r="Q40" s="326">
        <v>7</v>
      </c>
      <c r="R40" s="326">
        <v>6</v>
      </c>
      <c r="S40" s="506">
        <v>1601</v>
      </c>
      <c r="T40" s="507">
        <v>394</v>
      </c>
      <c r="U40" s="506">
        <v>1139</v>
      </c>
      <c r="V40" s="507">
        <v>233</v>
      </c>
      <c r="W40" s="506">
        <v>1012</v>
      </c>
      <c r="X40" s="507">
        <v>205</v>
      </c>
      <c r="Y40" s="486">
        <f t="shared" si="0"/>
        <v>3752</v>
      </c>
      <c r="Z40" s="487">
        <f t="shared" si="1"/>
        <v>832</v>
      </c>
      <c r="AA40" s="328">
        <f t="shared" si="13"/>
        <v>118.85714285714286</v>
      </c>
      <c r="AB40" s="329">
        <f t="shared" si="14"/>
        <v>4.509615384615385</v>
      </c>
      <c r="AC40" s="330">
        <v>3030</v>
      </c>
      <c r="AD40" s="331">
        <f t="shared" si="15"/>
        <v>0.2382838283828383</v>
      </c>
      <c r="AE40" s="332">
        <f t="shared" si="5"/>
        <v>2711</v>
      </c>
      <c r="AF40" s="328">
        <f t="shared" si="6"/>
        <v>587</v>
      </c>
      <c r="AG40" s="371">
        <v>6463</v>
      </c>
      <c r="AH40" s="372">
        <v>1419</v>
      </c>
      <c r="AI40" s="331">
        <f t="shared" si="7"/>
        <v>0.5863284002818887</v>
      </c>
      <c r="AJ40" s="331">
        <f t="shared" si="8"/>
        <v>0.41367159971811135</v>
      </c>
      <c r="AK40" s="328">
        <f t="shared" si="9"/>
        <v>202.71428571428572</v>
      </c>
      <c r="AL40" s="329">
        <f t="shared" si="10"/>
        <v>4.55461592670895</v>
      </c>
      <c r="AM40" s="343">
        <v>5922</v>
      </c>
      <c r="AN40" s="331">
        <f t="shared" si="11"/>
        <v>0.09135427220533604</v>
      </c>
      <c r="AO40" s="343">
        <f>53228.5+28585+20298.5+8299+5922+6463</f>
        <v>122796</v>
      </c>
      <c r="AP40" s="348">
        <f>6440+3537+2691+1237+891+1419</f>
        <v>16215</v>
      </c>
      <c r="AQ40" s="337">
        <f t="shared" si="12"/>
        <v>7.572987974098058</v>
      </c>
      <c r="AR40" s="266">
        <v>40928</v>
      </c>
      <c r="AS40" s="494">
        <v>24</v>
      </c>
      <c r="AT40" s="62"/>
    </row>
    <row r="41" spans="1:45" s="10" customFormat="1" ht="15" customHeight="1">
      <c r="A41" s="539" t="s">
        <v>506</v>
      </c>
      <c r="B41" s="526"/>
      <c r="C41" s="473" t="s">
        <v>261</v>
      </c>
      <c r="D41" s="470"/>
      <c r="E41" s="470"/>
      <c r="F41" s="470"/>
      <c r="G41" s="470"/>
      <c r="H41" s="471"/>
      <c r="I41" s="474" t="s">
        <v>54</v>
      </c>
      <c r="J41" s="253" t="s">
        <v>71</v>
      </c>
      <c r="K41" s="65" t="s">
        <v>82</v>
      </c>
      <c r="L41" s="65"/>
      <c r="M41" s="65" t="s">
        <v>71</v>
      </c>
      <c r="N41" s="269">
        <v>40858</v>
      </c>
      <c r="O41" s="68" t="s">
        <v>53</v>
      </c>
      <c r="P41" s="325">
        <v>130</v>
      </c>
      <c r="Q41" s="510">
        <v>3</v>
      </c>
      <c r="R41" s="510">
        <v>11</v>
      </c>
      <c r="S41" s="504">
        <v>936.5</v>
      </c>
      <c r="T41" s="503">
        <v>93</v>
      </c>
      <c r="U41" s="504">
        <v>1080</v>
      </c>
      <c r="V41" s="503">
        <v>102</v>
      </c>
      <c r="W41" s="504">
        <v>889.5</v>
      </c>
      <c r="X41" s="503">
        <v>87</v>
      </c>
      <c r="Y41" s="486">
        <f t="shared" si="0"/>
        <v>2906</v>
      </c>
      <c r="Z41" s="487">
        <f t="shared" si="1"/>
        <v>282</v>
      </c>
      <c r="AA41" s="328">
        <f t="shared" si="13"/>
        <v>94</v>
      </c>
      <c r="AB41" s="329">
        <f t="shared" si="14"/>
        <v>10.304964539007091</v>
      </c>
      <c r="AC41" s="330">
        <v>462</v>
      </c>
      <c r="AD41" s="331">
        <f t="shared" si="15"/>
        <v>5.29004329004329</v>
      </c>
      <c r="AE41" s="332">
        <f t="shared" si="5"/>
        <v>3008</v>
      </c>
      <c r="AF41" s="328">
        <f t="shared" si="6"/>
        <v>313</v>
      </c>
      <c r="AG41" s="367">
        <v>5914</v>
      </c>
      <c r="AH41" s="368">
        <v>595</v>
      </c>
      <c r="AI41" s="331">
        <f t="shared" si="7"/>
        <v>0.47394957983193275</v>
      </c>
      <c r="AJ41" s="331">
        <f t="shared" si="8"/>
        <v>0.5260504201680672</v>
      </c>
      <c r="AK41" s="328">
        <f t="shared" si="9"/>
        <v>198.33333333333334</v>
      </c>
      <c r="AL41" s="329">
        <f t="shared" si="10"/>
        <v>9.939495798319328</v>
      </c>
      <c r="AM41" s="333">
        <v>753</v>
      </c>
      <c r="AN41" s="331">
        <f t="shared" si="11"/>
        <v>6.853917662682603</v>
      </c>
      <c r="AO41" s="333">
        <f>665902+436506+215139.5+18371+13790+6539+18719+8754+1085+753+5914</f>
        <v>1391472.5</v>
      </c>
      <c r="AP41" s="334">
        <f>66262+44749+24699+2311+1764+1135+3015+1547+179+111+595</f>
        <v>146367</v>
      </c>
      <c r="AQ41" s="337">
        <f t="shared" si="12"/>
        <v>9.506736491148962</v>
      </c>
      <c r="AR41" s="266">
        <v>40928</v>
      </c>
      <c r="AS41" s="494">
        <v>51</v>
      </c>
    </row>
    <row r="42" spans="1:45" s="10" customFormat="1" ht="15" customHeight="1">
      <c r="A42" s="539" t="s">
        <v>507</v>
      </c>
      <c r="B42" s="560"/>
      <c r="C42" s="473" t="s">
        <v>261</v>
      </c>
      <c r="D42" s="470"/>
      <c r="E42" s="470"/>
      <c r="F42" s="470"/>
      <c r="G42" s="470"/>
      <c r="H42" s="471"/>
      <c r="I42" s="474" t="s">
        <v>54</v>
      </c>
      <c r="J42" s="243" t="s">
        <v>115</v>
      </c>
      <c r="K42" s="65" t="s">
        <v>116</v>
      </c>
      <c r="L42" s="69"/>
      <c r="M42" s="67" t="s">
        <v>115</v>
      </c>
      <c r="N42" s="268">
        <v>40886</v>
      </c>
      <c r="O42" s="68" t="s">
        <v>12</v>
      </c>
      <c r="P42" s="325">
        <v>161</v>
      </c>
      <c r="Q42" s="326">
        <v>6</v>
      </c>
      <c r="R42" s="326">
        <v>7</v>
      </c>
      <c r="S42" s="327">
        <v>802</v>
      </c>
      <c r="T42" s="503">
        <v>125</v>
      </c>
      <c r="U42" s="504">
        <v>946</v>
      </c>
      <c r="V42" s="503">
        <v>150</v>
      </c>
      <c r="W42" s="504">
        <v>1010</v>
      </c>
      <c r="X42" s="503">
        <v>147</v>
      </c>
      <c r="Y42" s="486">
        <f t="shared" si="0"/>
        <v>2758</v>
      </c>
      <c r="Z42" s="487">
        <f t="shared" si="1"/>
        <v>422</v>
      </c>
      <c r="AA42" s="328">
        <f t="shared" si="13"/>
        <v>70.33333333333333</v>
      </c>
      <c r="AB42" s="329">
        <f t="shared" si="14"/>
        <v>6.535545023696683</v>
      </c>
      <c r="AC42" s="330">
        <v>5625</v>
      </c>
      <c r="AD42" s="331">
        <f t="shared" si="15"/>
        <v>-0.5096888888888889</v>
      </c>
      <c r="AE42" s="332">
        <f t="shared" si="5"/>
        <v>2730</v>
      </c>
      <c r="AF42" s="328">
        <f t="shared" si="6"/>
        <v>449</v>
      </c>
      <c r="AG42" s="367">
        <v>5488</v>
      </c>
      <c r="AH42" s="368">
        <v>871</v>
      </c>
      <c r="AI42" s="331">
        <f t="shared" si="7"/>
        <v>0.4845005740528129</v>
      </c>
      <c r="AJ42" s="331">
        <f t="shared" si="8"/>
        <v>0.5154994259471871</v>
      </c>
      <c r="AK42" s="328">
        <f t="shared" si="9"/>
        <v>145.16666666666666</v>
      </c>
      <c r="AL42" s="329">
        <f t="shared" si="10"/>
        <v>6.3008036739380024</v>
      </c>
      <c r="AM42" s="333">
        <v>9906</v>
      </c>
      <c r="AN42" s="331">
        <f t="shared" si="11"/>
        <v>-0.44599232788209164</v>
      </c>
      <c r="AO42" s="333">
        <v>879619</v>
      </c>
      <c r="AP42" s="334">
        <v>107284</v>
      </c>
      <c r="AQ42" s="337">
        <f t="shared" si="12"/>
        <v>8.198976548227135</v>
      </c>
      <c r="AR42" s="266">
        <v>40928</v>
      </c>
      <c r="AS42" s="494">
        <v>23</v>
      </c>
    </row>
    <row r="43" spans="1:46" s="10" customFormat="1" ht="15" customHeight="1">
      <c r="A43" s="539" t="s">
        <v>508</v>
      </c>
      <c r="B43" s="526"/>
      <c r="C43" s="473" t="s">
        <v>261</v>
      </c>
      <c r="D43" s="470"/>
      <c r="E43" s="470"/>
      <c r="F43" s="470"/>
      <c r="G43" s="470"/>
      <c r="H43" s="471"/>
      <c r="I43" s="474" t="s">
        <v>54</v>
      </c>
      <c r="J43" s="249" t="s">
        <v>148</v>
      </c>
      <c r="K43" s="68" t="s">
        <v>112</v>
      </c>
      <c r="L43" s="68"/>
      <c r="M43" s="68" t="s">
        <v>148</v>
      </c>
      <c r="N43" s="268">
        <v>40900</v>
      </c>
      <c r="O43" s="68" t="s">
        <v>52</v>
      </c>
      <c r="P43" s="356">
        <v>14</v>
      </c>
      <c r="Q43" s="344">
        <v>3</v>
      </c>
      <c r="R43" s="344">
        <v>5</v>
      </c>
      <c r="S43" s="499">
        <v>447</v>
      </c>
      <c r="T43" s="500">
        <v>65</v>
      </c>
      <c r="U43" s="499">
        <v>1136</v>
      </c>
      <c r="V43" s="500">
        <v>152</v>
      </c>
      <c r="W43" s="499">
        <v>1036</v>
      </c>
      <c r="X43" s="500">
        <v>139</v>
      </c>
      <c r="Y43" s="486">
        <f aca="true" t="shared" si="16" ref="Y43:Y75">SUM(S43+U43+W43)</f>
        <v>2619</v>
      </c>
      <c r="Z43" s="487">
        <f aca="true" t="shared" si="17" ref="Z43:Z75">T43+V43+X43</f>
        <v>356</v>
      </c>
      <c r="AA43" s="328">
        <f t="shared" si="13"/>
        <v>118.66666666666667</v>
      </c>
      <c r="AB43" s="329">
        <f t="shared" si="14"/>
        <v>7.356741573033708</v>
      </c>
      <c r="AC43" s="330">
        <v>589</v>
      </c>
      <c r="AD43" s="331">
        <f t="shared" si="15"/>
        <v>3.4465195246179965</v>
      </c>
      <c r="AE43" s="332">
        <f aca="true" t="shared" si="18" ref="AE43:AE74">AG43-Y43</f>
        <v>2828</v>
      </c>
      <c r="AF43" s="328">
        <f aca="true" t="shared" si="19" ref="AF43:AF74">AH43-Z43</f>
        <v>396</v>
      </c>
      <c r="AG43" s="553">
        <v>5447</v>
      </c>
      <c r="AH43" s="554">
        <v>752</v>
      </c>
      <c r="AI43" s="331">
        <f aca="true" t="shared" si="20" ref="AI43:AI74">Z43*1/AH43</f>
        <v>0.4734042553191489</v>
      </c>
      <c r="AJ43" s="331">
        <f aca="true" t="shared" si="21" ref="AJ43:AJ74">AF43*1/AH43</f>
        <v>0.526595744680851</v>
      </c>
      <c r="AK43" s="328">
        <f aca="true" t="shared" si="22" ref="AK43:AK74">AH43/Q43</f>
        <v>250.66666666666666</v>
      </c>
      <c r="AL43" s="329">
        <f aca="true" t="shared" si="23" ref="AL43:AL74">AG43/AH43</f>
        <v>7.243351063829787</v>
      </c>
      <c r="AM43" s="333">
        <v>1091</v>
      </c>
      <c r="AN43" s="331">
        <f aca="true" t="shared" si="24" ref="AN43:AN74">IF(AM43&lt;&gt;0,-(AM43-AG43)/AM43,"")</f>
        <v>3.992667277726856</v>
      </c>
      <c r="AO43" s="505">
        <f>43848.5+19458.5+4777+1091+5447</f>
        <v>74622</v>
      </c>
      <c r="AP43" s="334">
        <f>3764+1850+439+142+752</f>
        <v>6947</v>
      </c>
      <c r="AQ43" s="337">
        <f aca="true" t="shared" si="25" ref="AQ43:AQ74">AO43/AP43</f>
        <v>10.741615085648482</v>
      </c>
      <c r="AR43" s="266">
        <v>40928</v>
      </c>
      <c r="AS43" s="494">
        <v>46</v>
      </c>
      <c r="AT43" s="306"/>
    </row>
    <row r="44" spans="1:46" s="10" customFormat="1" ht="15" customHeight="1">
      <c r="A44" s="539" t="s">
        <v>509</v>
      </c>
      <c r="B44" s="526"/>
      <c r="C44" s="473" t="s">
        <v>261</v>
      </c>
      <c r="D44" s="470"/>
      <c r="E44" s="470"/>
      <c r="F44" s="470"/>
      <c r="G44" s="470"/>
      <c r="H44" s="471"/>
      <c r="I44" s="474" t="s">
        <v>54</v>
      </c>
      <c r="J44" s="253" t="s">
        <v>106</v>
      </c>
      <c r="K44" s="65" t="s">
        <v>114</v>
      </c>
      <c r="L44" s="65"/>
      <c r="M44" s="65" t="s">
        <v>106</v>
      </c>
      <c r="N44" s="268">
        <v>40879</v>
      </c>
      <c r="O44" s="68" t="s">
        <v>8</v>
      </c>
      <c r="P44" s="325">
        <v>39</v>
      </c>
      <c r="Q44" s="340">
        <v>9</v>
      </c>
      <c r="R44" s="340">
        <v>8</v>
      </c>
      <c r="S44" s="501">
        <v>855</v>
      </c>
      <c r="T44" s="502">
        <v>113</v>
      </c>
      <c r="U44" s="501">
        <v>996</v>
      </c>
      <c r="V44" s="502">
        <v>128</v>
      </c>
      <c r="W44" s="501">
        <v>1153</v>
      </c>
      <c r="X44" s="502">
        <v>150</v>
      </c>
      <c r="Y44" s="486">
        <f t="shared" si="16"/>
        <v>3004</v>
      </c>
      <c r="Z44" s="487">
        <f t="shared" si="17"/>
        <v>391</v>
      </c>
      <c r="AA44" s="328">
        <f t="shared" si="13"/>
        <v>43.44444444444444</v>
      </c>
      <c r="AB44" s="329">
        <f t="shared" si="14"/>
        <v>7.6828644501278776</v>
      </c>
      <c r="AC44" s="330">
        <v>2970</v>
      </c>
      <c r="AD44" s="331">
        <f t="shared" si="15"/>
        <v>0.011447811447811448</v>
      </c>
      <c r="AE44" s="332">
        <f t="shared" si="18"/>
        <v>2212</v>
      </c>
      <c r="AF44" s="328">
        <f t="shared" si="19"/>
        <v>298</v>
      </c>
      <c r="AG44" s="555">
        <v>5216</v>
      </c>
      <c r="AH44" s="556">
        <v>689</v>
      </c>
      <c r="AI44" s="331">
        <f t="shared" si="20"/>
        <v>0.5674891146589259</v>
      </c>
      <c r="AJ44" s="331">
        <f t="shared" si="21"/>
        <v>0.432510885341074</v>
      </c>
      <c r="AK44" s="328">
        <f t="shared" si="22"/>
        <v>76.55555555555556</v>
      </c>
      <c r="AL44" s="329">
        <f t="shared" si="23"/>
        <v>7.570391872278665</v>
      </c>
      <c r="AM44" s="333">
        <v>4931</v>
      </c>
      <c r="AN44" s="331">
        <f t="shared" si="24"/>
        <v>0.057797606976272564</v>
      </c>
      <c r="AO44" s="341">
        <v>223515</v>
      </c>
      <c r="AP44" s="342">
        <v>25285</v>
      </c>
      <c r="AQ44" s="337">
        <f t="shared" si="25"/>
        <v>8.839825983784852</v>
      </c>
      <c r="AR44" s="266">
        <v>40928</v>
      </c>
      <c r="AS44" s="494">
        <v>25</v>
      </c>
      <c r="AT44" s="306"/>
    </row>
    <row r="45" spans="1:46" s="10" customFormat="1" ht="15" customHeight="1">
      <c r="A45" s="539" t="s">
        <v>510</v>
      </c>
      <c r="B45" s="526"/>
      <c r="C45" s="473" t="s">
        <v>261</v>
      </c>
      <c r="D45" s="470"/>
      <c r="E45" s="476"/>
      <c r="F45" s="470"/>
      <c r="G45" s="470"/>
      <c r="H45" s="471"/>
      <c r="I45" s="471"/>
      <c r="J45" s="243" t="s">
        <v>190</v>
      </c>
      <c r="K45" s="67" t="s">
        <v>195</v>
      </c>
      <c r="L45" s="69" t="s">
        <v>79</v>
      </c>
      <c r="M45" s="67" t="s">
        <v>192</v>
      </c>
      <c r="N45" s="268">
        <v>40816</v>
      </c>
      <c r="O45" s="68" t="s">
        <v>68</v>
      </c>
      <c r="P45" s="325">
        <v>25</v>
      </c>
      <c r="Q45" s="326">
        <v>13</v>
      </c>
      <c r="R45" s="326">
        <v>3</v>
      </c>
      <c r="S45" s="345">
        <v>450</v>
      </c>
      <c r="T45" s="507">
        <v>75</v>
      </c>
      <c r="U45" s="506">
        <v>582</v>
      </c>
      <c r="V45" s="507">
        <v>97</v>
      </c>
      <c r="W45" s="506">
        <v>618</v>
      </c>
      <c r="X45" s="507">
        <v>103</v>
      </c>
      <c r="Y45" s="486">
        <f t="shared" si="16"/>
        <v>1650</v>
      </c>
      <c r="Z45" s="487">
        <f t="shared" si="17"/>
        <v>275</v>
      </c>
      <c r="AA45" s="328">
        <f t="shared" si="13"/>
        <v>21.153846153846153</v>
      </c>
      <c r="AB45" s="329">
        <f t="shared" si="14"/>
        <v>6</v>
      </c>
      <c r="AC45" s="330">
        <v>1650</v>
      </c>
      <c r="AD45" s="331">
        <f t="shared" si="15"/>
        <v>0</v>
      </c>
      <c r="AE45" s="332">
        <f t="shared" si="18"/>
        <v>3484</v>
      </c>
      <c r="AF45" s="328">
        <f t="shared" si="19"/>
        <v>389</v>
      </c>
      <c r="AG45" s="371">
        <v>5134</v>
      </c>
      <c r="AH45" s="372">
        <v>664</v>
      </c>
      <c r="AI45" s="331">
        <f t="shared" si="20"/>
        <v>0.4141566265060241</v>
      </c>
      <c r="AJ45" s="331">
        <f t="shared" si="21"/>
        <v>0.5858433734939759</v>
      </c>
      <c r="AK45" s="328">
        <f t="shared" si="22"/>
        <v>51.07692307692308</v>
      </c>
      <c r="AL45" s="329">
        <f t="shared" si="23"/>
        <v>7.731927710843373</v>
      </c>
      <c r="AM45" s="343">
        <v>3320</v>
      </c>
      <c r="AN45" s="331">
        <f t="shared" si="24"/>
        <v>0.5463855421686747</v>
      </c>
      <c r="AO45" s="343">
        <f>80510.5+53296+49611.5+29276.5+2781+46429+5648+1635+6908.5+15320.5+732+943+3320+5134</f>
        <v>301545.5</v>
      </c>
      <c r="AP45" s="348">
        <f>8978+6079+6067+4144+482+6937+761+224+842+1960+107+134+565+664</f>
        <v>37944</v>
      </c>
      <c r="AQ45" s="337">
        <f t="shared" si="25"/>
        <v>7.947119439173519</v>
      </c>
      <c r="AR45" s="266">
        <v>40928</v>
      </c>
      <c r="AS45" s="493" t="s">
        <v>349</v>
      </c>
      <c r="AT45" s="306"/>
    </row>
    <row r="46" spans="1:46" s="10" customFormat="1" ht="15" customHeight="1">
      <c r="A46" s="539" t="s">
        <v>511</v>
      </c>
      <c r="B46" s="527"/>
      <c r="C46" s="473" t="s">
        <v>261</v>
      </c>
      <c r="D46" s="480"/>
      <c r="E46" s="480"/>
      <c r="F46" s="470"/>
      <c r="G46" s="480"/>
      <c r="H46" s="475" t="s">
        <v>55</v>
      </c>
      <c r="I46" s="474" t="s">
        <v>54</v>
      </c>
      <c r="J46" s="249" t="s">
        <v>74</v>
      </c>
      <c r="K46" s="71" t="s">
        <v>80</v>
      </c>
      <c r="L46" s="71"/>
      <c r="M46" s="71" t="s">
        <v>74</v>
      </c>
      <c r="N46" s="268">
        <v>40851</v>
      </c>
      <c r="O46" s="68" t="s">
        <v>53</v>
      </c>
      <c r="P46" s="339">
        <v>247</v>
      </c>
      <c r="Q46" s="510">
        <v>2</v>
      </c>
      <c r="R46" s="510">
        <v>12</v>
      </c>
      <c r="S46" s="504">
        <v>1504</v>
      </c>
      <c r="T46" s="503">
        <v>301</v>
      </c>
      <c r="U46" s="504">
        <v>1554</v>
      </c>
      <c r="V46" s="503">
        <v>306</v>
      </c>
      <c r="W46" s="504">
        <v>1818</v>
      </c>
      <c r="X46" s="503">
        <v>362</v>
      </c>
      <c r="Y46" s="486">
        <f t="shared" si="16"/>
        <v>4876</v>
      </c>
      <c r="Z46" s="487">
        <f t="shared" si="17"/>
        <v>969</v>
      </c>
      <c r="AA46" s="328">
        <f t="shared" si="13"/>
        <v>484.5</v>
      </c>
      <c r="AB46" s="329">
        <f t="shared" si="14"/>
        <v>5.0319917440660475</v>
      </c>
      <c r="AC46" s="330">
        <v>471</v>
      </c>
      <c r="AD46" s="331">
        <f t="shared" si="15"/>
        <v>9.35244161358811</v>
      </c>
      <c r="AE46" s="332">
        <f t="shared" si="18"/>
        <v>130</v>
      </c>
      <c r="AF46" s="328">
        <f t="shared" si="19"/>
        <v>19</v>
      </c>
      <c r="AG46" s="367">
        <v>5006</v>
      </c>
      <c r="AH46" s="368">
        <v>988</v>
      </c>
      <c r="AI46" s="331">
        <f t="shared" si="20"/>
        <v>0.9807692307692307</v>
      </c>
      <c r="AJ46" s="331">
        <f t="shared" si="21"/>
        <v>0.019230769230769232</v>
      </c>
      <c r="AK46" s="328">
        <f t="shared" si="22"/>
        <v>494</v>
      </c>
      <c r="AL46" s="329">
        <f t="shared" si="23"/>
        <v>5.066801619433198</v>
      </c>
      <c r="AM46" s="333"/>
      <c r="AN46" s="331">
        <f t="shared" si="24"/>
      </c>
      <c r="AO46" s="333">
        <f>2260223+2366876.75+3859638+3137342+1906742.5+252.25+1189485.5+474275+250512+184428+13126+754+5006</f>
        <v>15648661</v>
      </c>
      <c r="AP46" s="334">
        <f>286038+329194+554088+452220+278080+42+178270+68355+40409+33224+1975+104+988</f>
        <v>2222987</v>
      </c>
      <c r="AQ46" s="337">
        <f t="shared" si="25"/>
        <v>7.039474814742507</v>
      </c>
      <c r="AR46" s="266">
        <v>40928</v>
      </c>
      <c r="AS46" s="494">
        <v>50</v>
      </c>
      <c r="AT46" s="62"/>
    </row>
    <row r="47" spans="1:46" s="10" customFormat="1" ht="15" customHeight="1">
      <c r="A47" s="539" t="s">
        <v>512</v>
      </c>
      <c r="B47" s="526"/>
      <c r="C47" s="473" t="s">
        <v>261</v>
      </c>
      <c r="D47" s="470"/>
      <c r="E47" s="470"/>
      <c r="F47" s="470"/>
      <c r="G47" s="470"/>
      <c r="H47" s="475" t="s">
        <v>55</v>
      </c>
      <c r="I47" s="472"/>
      <c r="J47" s="243" t="s">
        <v>354</v>
      </c>
      <c r="K47" s="67" t="s">
        <v>126</v>
      </c>
      <c r="L47" s="69" t="s">
        <v>397</v>
      </c>
      <c r="M47" s="67" t="s">
        <v>354</v>
      </c>
      <c r="N47" s="268">
        <v>40641</v>
      </c>
      <c r="O47" s="68" t="s">
        <v>68</v>
      </c>
      <c r="P47" s="325">
        <v>137</v>
      </c>
      <c r="Q47" s="326">
        <v>1</v>
      </c>
      <c r="R47" s="326">
        <v>38</v>
      </c>
      <c r="S47" s="506">
        <v>0</v>
      </c>
      <c r="T47" s="507">
        <v>0</v>
      </c>
      <c r="U47" s="506">
        <v>0</v>
      </c>
      <c r="V47" s="507">
        <v>0</v>
      </c>
      <c r="W47" s="506">
        <v>0</v>
      </c>
      <c r="X47" s="507">
        <v>0</v>
      </c>
      <c r="Y47" s="486">
        <f t="shared" si="16"/>
        <v>0</v>
      </c>
      <c r="Z47" s="487">
        <f t="shared" si="17"/>
        <v>0</v>
      </c>
      <c r="AA47" s="328">
        <f t="shared" si="13"/>
      </c>
      <c r="AB47" s="329">
        <f t="shared" si="14"/>
      </c>
      <c r="AC47" s="330">
        <v>0</v>
      </c>
      <c r="AD47" s="331">
        <f t="shared" si="15"/>
      </c>
      <c r="AE47" s="332">
        <f t="shared" si="18"/>
        <v>4989.5</v>
      </c>
      <c r="AF47" s="328">
        <f t="shared" si="19"/>
        <v>1248</v>
      </c>
      <c r="AG47" s="371">
        <v>4989.5</v>
      </c>
      <c r="AH47" s="372">
        <v>1248</v>
      </c>
      <c r="AI47" s="331">
        <f t="shared" si="20"/>
        <v>0</v>
      </c>
      <c r="AJ47" s="331">
        <f t="shared" si="21"/>
        <v>1</v>
      </c>
      <c r="AK47" s="328">
        <f t="shared" si="22"/>
        <v>1248</v>
      </c>
      <c r="AL47" s="329">
        <f t="shared" si="23"/>
        <v>3.9979967948717947</v>
      </c>
      <c r="AM47" s="343">
        <v>2318</v>
      </c>
      <c r="AN47" s="331">
        <f t="shared" si="24"/>
        <v>1.152502157031924</v>
      </c>
      <c r="AO47" s="343">
        <f>1093950.25+883807.25+882248.49+232093.5+101981.5+57830.5+19947.5+33359.5+10973.5+10465+4630+3501.5+10659+9758.5+3633+5790+6145.5+1329.5+1868.5+1128+2980.5+1299.5+16988+15449+14138+200+1908+7960+4871+1544.5+1533+891+3175+713+425+224+993+2318+3705+4989.5</f>
        <v>3461405.49</v>
      </c>
      <c r="AP47" s="348">
        <f>103570+88345+90215+25333+13427+8958+3731+5336+2366+2057+997+691+1831+2140+654+1021+736+207+401+189+424+234+4142+3841+3526+40+471+1991+1218+386+96+56+735+178+84+42+228+1120+1571+1248</f>
        <v>373836</v>
      </c>
      <c r="AQ47" s="337">
        <f t="shared" si="25"/>
        <v>9.259155057297853</v>
      </c>
      <c r="AR47" s="266">
        <v>40928</v>
      </c>
      <c r="AS47" s="494">
        <v>33</v>
      </c>
      <c r="AT47" s="62"/>
    </row>
    <row r="48" spans="1:46" s="10" customFormat="1" ht="15" customHeight="1">
      <c r="A48" s="539" t="s">
        <v>513</v>
      </c>
      <c r="B48" s="526"/>
      <c r="C48" s="473" t="s">
        <v>261</v>
      </c>
      <c r="D48" s="476"/>
      <c r="E48" s="477">
        <v>3</v>
      </c>
      <c r="F48" s="476"/>
      <c r="G48" s="470"/>
      <c r="H48" s="472"/>
      <c r="I48" s="471"/>
      <c r="J48" s="253" t="s">
        <v>72</v>
      </c>
      <c r="K48" s="65" t="s">
        <v>83</v>
      </c>
      <c r="L48" s="65" t="s">
        <v>189</v>
      </c>
      <c r="M48" s="65" t="s">
        <v>182</v>
      </c>
      <c r="N48" s="268">
        <v>40858</v>
      </c>
      <c r="O48" s="68" t="s">
        <v>8</v>
      </c>
      <c r="P48" s="325">
        <v>132</v>
      </c>
      <c r="Q48" s="340">
        <v>7</v>
      </c>
      <c r="R48" s="340">
        <v>11</v>
      </c>
      <c r="S48" s="501">
        <v>689</v>
      </c>
      <c r="T48" s="502">
        <v>105</v>
      </c>
      <c r="U48" s="501">
        <v>758</v>
      </c>
      <c r="V48" s="502">
        <v>107</v>
      </c>
      <c r="W48" s="501">
        <v>1119</v>
      </c>
      <c r="X48" s="502">
        <v>151</v>
      </c>
      <c r="Y48" s="486">
        <f t="shared" si="16"/>
        <v>2566</v>
      </c>
      <c r="Z48" s="487">
        <f t="shared" si="17"/>
        <v>363</v>
      </c>
      <c r="AA48" s="328">
        <f t="shared" si="13"/>
        <v>51.857142857142854</v>
      </c>
      <c r="AB48" s="329">
        <f t="shared" si="14"/>
        <v>7.068870523415978</v>
      </c>
      <c r="AC48" s="330">
        <v>2539</v>
      </c>
      <c r="AD48" s="331">
        <f t="shared" si="15"/>
        <v>0.01063410791650256</v>
      </c>
      <c r="AE48" s="332">
        <f t="shared" si="18"/>
        <v>2370</v>
      </c>
      <c r="AF48" s="328">
        <f t="shared" si="19"/>
        <v>363</v>
      </c>
      <c r="AG48" s="555">
        <v>4936</v>
      </c>
      <c r="AH48" s="556">
        <v>726</v>
      </c>
      <c r="AI48" s="331">
        <f t="shared" si="20"/>
        <v>0.5</v>
      </c>
      <c r="AJ48" s="331">
        <f t="shared" si="21"/>
        <v>0.5</v>
      </c>
      <c r="AK48" s="328">
        <f t="shared" si="22"/>
        <v>103.71428571428571</v>
      </c>
      <c r="AL48" s="329">
        <f t="shared" si="23"/>
        <v>6.798898071625344</v>
      </c>
      <c r="AM48" s="333">
        <v>4875</v>
      </c>
      <c r="AN48" s="331">
        <f t="shared" si="24"/>
        <v>0.012512820512820513</v>
      </c>
      <c r="AO48" s="341">
        <v>6011645</v>
      </c>
      <c r="AP48" s="342">
        <v>540678</v>
      </c>
      <c r="AQ48" s="337">
        <f t="shared" si="25"/>
        <v>11.118715760582084</v>
      </c>
      <c r="AR48" s="266">
        <v>40928</v>
      </c>
      <c r="AS48" s="494">
        <v>26</v>
      </c>
      <c r="AT48" s="62"/>
    </row>
    <row r="49" spans="1:46" s="10" customFormat="1" ht="15" customHeight="1">
      <c r="A49" s="539" t="s">
        <v>514</v>
      </c>
      <c r="B49" s="542"/>
      <c r="C49" s="473" t="s">
        <v>261</v>
      </c>
      <c r="D49" s="540"/>
      <c r="E49" s="540"/>
      <c r="F49" s="470"/>
      <c r="G49" s="540"/>
      <c r="H49" s="543"/>
      <c r="I49" s="471"/>
      <c r="J49" s="253" t="s">
        <v>137</v>
      </c>
      <c r="K49" s="65" t="s">
        <v>140</v>
      </c>
      <c r="L49" s="65" t="s">
        <v>138</v>
      </c>
      <c r="M49" s="65" t="s">
        <v>139</v>
      </c>
      <c r="N49" s="268">
        <v>40893</v>
      </c>
      <c r="O49" s="68" t="s">
        <v>53</v>
      </c>
      <c r="P49" s="325">
        <v>28</v>
      </c>
      <c r="Q49" s="510">
        <v>4</v>
      </c>
      <c r="R49" s="510">
        <v>6</v>
      </c>
      <c r="S49" s="504">
        <v>791</v>
      </c>
      <c r="T49" s="503">
        <v>88</v>
      </c>
      <c r="U49" s="504">
        <v>1076</v>
      </c>
      <c r="V49" s="503">
        <v>114</v>
      </c>
      <c r="W49" s="504">
        <v>1013</v>
      </c>
      <c r="X49" s="503">
        <v>109</v>
      </c>
      <c r="Y49" s="486">
        <f t="shared" si="16"/>
        <v>2880</v>
      </c>
      <c r="Z49" s="487">
        <f t="shared" si="17"/>
        <v>311</v>
      </c>
      <c r="AA49" s="328">
        <f t="shared" si="13"/>
        <v>77.75</v>
      </c>
      <c r="AB49" s="329">
        <f t="shared" si="14"/>
        <v>9.260450160771704</v>
      </c>
      <c r="AC49" s="330">
        <v>2872.5</v>
      </c>
      <c r="AD49" s="331">
        <f t="shared" si="15"/>
        <v>0.0026109660574412533</v>
      </c>
      <c r="AE49" s="332">
        <f t="shared" si="18"/>
        <v>1884</v>
      </c>
      <c r="AF49" s="328">
        <f t="shared" si="19"/>
        <v>224</v>
      </c>
      <c r="AG49" s="367">
        <v>4764</v>
      </c>
      <c r="AH49" s="368">
        <v>535</v>
      </c>
      <c r="AI49" s="331">
        <f t="shared" si="20"/>
        <v>0.5813084112149532</v>
      </c>
      <c r="AJ49" s="331">
        <f t="shared" si="21"/>
        <v>0.41869158878504675</v>
      </c>
      <c r="AK49" s="328">
        <f t="shared" si="22"/>
        <v>133.75</v>
      </c>
      <c r="AL49" s="329">
        <f t="shared" si="23"/>
        <v>8.904672897196262</v>
      </c>
      <c r="AM49" s="333">
        <v>4853.5</v>
      </c>
      <c r="AN49" s="331">
        <f t="shared" si="24"/>
        <v>-0.018440300813845678</v>
      </c>
      <c r="AO49" s="333">
        <f>152692.5+78009+19211+5878+4853.5+4764</f>
        <v>265408</v>
      </c>
      <c r="AP49" s="334">
        <f>12107+6230+2152+592+575+535</f>
        <v>22191</v>
      </c>
      <c r="AQ49" s="337">
        <f t="shared" si="25"/>
        <v>11.960164030462801</v>
      </c>
      <c r="AR49" s="266">
        <v>40928</v>
      </c>
      <c r="AS49" s="494">
        <v>27</v>
      </c>
      <c r="AT49" s="62"/>
    </row>
    <row r="50" spans="1:46" s="10" customFormat="1" ht="15" customHeight="1">
      <c r="A50" s="539" t="s">
        <v>515</v>
      </c>
      <c r="B50" s="526"/>
      <c r="C50" s="473" t="s">
        <v>261</v>
      </c>
      <c r="D50" s="482" t="s">
        <v>223</v>
      </c>
      <c r="E50" s="477">
        <v>3</v>
      </c>
      <c r="F50" s="470"/>
      <c r="G50" s="540"/>
      <c r="H50" s="475" t="s">
        <v>55</v>
      </c>
      <c r="I50" s="471"/>
      <c r="J50" s="238" t="s">
        <v>220</v>
      </c>
      <c r="K50" s="70" t="s">
        <v>93</v>
      </c>
      <c r="L50" s="68" t="s">
        <v>95</v>
      </c>
      <c r="M50" s="70" t="s">
        <v>60</v>
      </c>
      <c r="N50" s="268">
        <v>40760</v>
      </c>
      <c r="O50" s="68" t="s">
        <v>10</v>
      </c>
      <c r="P50" s="360">
        <v>184</v>
      </c>
      <c r="Q50" s="344">
        <v>5</v>
      </c>
      <c r="R50" s="344">
        <v>25</v>
      </c>
      <c r="S50" s="499">
        <v>868</v>
      </c>
      <c r="T50" s="500">
        <v>171</v>
      </c>
      <c r="U50" s="499">
        <v>973</v>
      </c>
      <c r="V50" s="500">
        <v>201</v>
      </c>
      <c r="W50" s="499">
        <v>934</v>
      </c>
      <c r="X50" s="500">
        <v>197</v>
      </c>
      <c r="Y50" s="486">
        <f t="shared" si="16"/>
        <v>2775</v>
      </c>
      <c r="Z50" s="487">
        <f t="shared" si="17"/>
        <v>569</v>
      </c>
      <c r="AA50" s="328">
        <f t="shared" si="13"/>
        <v>113.8</v>
      </c>
      <c r="AB50" s="329">
        <f t="shared" si="14"/>
        <v>4.8769771528998245</v>
      </c>
      <c r="AC50" s="330">
        <v>40</v>
      </c>
      <c r="AD50" s="331">
        <f t="shared" si="15"/>
        <v>68.375</v>
      </c>
      <c r="AE50" s="332">
        <f t="shared" si="18"/>
        <v>1493</v>
      </c>
      <c r="AF50" s="328">
        <f t="shared" si="19"/>
        <v>311</v>
      </c>
      <c r="AG50" s="555">
        <v>4268</v>
      </c>
      <c r="AH50" s="556">
        <v>880</v>
      </c>
      <c r="AI50" s="331">
        <f t="shared" si="20"/>
        <v>0.6465909090909091</v>
      </c>
      <c r="AJ50" s="331">
        <f t="shared" si="21"/>
        <v>0.3534090909090909</v>
      </c>
      <c r="AK50" s="328">
        <f t="shared" si="22"/>
        <v>176</v>
      </c>
      <c r="AL50" s="329">
        <f t="shared" si="23"/>
        <v>4.85</v>
      </c>
      <c r="AM50" s="343">
        <v>64</v>
      </c>
      <c r="AN50" s="331">
        <f t="shared" si="24"/>
        <v>65.6875</v>
      </c>
      <c r="AO50" s="341">
        <v>11513319</v>
      </c>
      <c r="AP50" s="342">
        <v>1143987</v>
      </c>
      <c r="AQ50" s="337">
        <f t="shared" si="25"/>
        <v>10.064204400924137</v>
      </c>
      <c r="AR50" s="266">
        <v>40928</v>
      </c>
      <c r="AS50" s="494">
        <v>63</v>
      </c>
      <c r="AT50" s="62"/>
    </row>
    <row r="51" spans="1:46" s="10" customFormat="1" ht="15" customHeight="1">
      <c r="A51" s="539" t="s">
        <v>516</v>
      </c>
      <c r="B51" s="526"/>
      <c r="C51" s="473" t="s">
        <v>261</v>
      </c>
      <c r="D51" s="470"/>
      <c r="E51" s="470"/>
      <c r="F51" s="540"/>
      <c r="G51" s="481" t="s">
        <v>292</v>
      </c>
      <c r="H51" s="475" t="s">
        <v>55</v>
      </c>
      <c r="I51" s="472"/>
      <c r="J51" s="243" t="s">
        <v>449</v>
      </c>
      <c r="K51" s="67" t="s">
        <v>466</v>
      </c>
      <c r="L51" s="67" t="s">
        <v>89</v>
      </c>
      <c r="M51" s="67" t="s">
        <v>471</v>
      </c>
      <c r="N51" s="268">
        <v>39738</v>
      </c>
      <c r="O51" s="68" t="s">
        <v>68</v>
      </c>
      <c r="P51" s="325">
        <v>67</v>
      </c>
      <c r="Q51" s="326">
        <v>2</v>
      </c>
      <c r="R51" s="326">
        <v>49</v>
      </c>
      <c r="S51" s="506">
        <v>0</v>
      </c>
      <c r="T51" s="507">
        <v>0</v>
      </c>
      <c r="U51" s="506">
        <v>0</v>
      </c>
      <c r="V51" s="507">
        <v>0</v>
      </c>
      <c r="W51" s="506">
        <v>0</v>
      </c>
      <c r="X51" s="507">
        <v>0</v>
      </c>
      <c r="Y51" s="486">
        <f t="shared" si="16"/>
        <v>0</v>
      </c>
      <c r="Z51" s="487">
        <f t="shared" si="17"/>
        <v>0</v>
      </c>
      <c r="AA51" s="328"/>
      <c r="AB51" s="329"/>
      <c r="AC51" s="330"/>
      <c r="AD51" s="331"/>
      <c r="AE51" s="332">
        <f t="shared" si="18"/>
        <v>4040</v>
      </c>
      <c r="AF51" s="328">
        <f t="shared" si="19"/>
        <v>1010</v>
      </c>
      <c r="AG51" s="371">
        <v>4040</v>
      </c>
      <c r="AH51" s="372">
        <v>1010</v>
      </c>
      <c r="AI51" s="331">
        <f t="shared" si="20"/>
        <v>0</v>
      </c>
      <c r="AJ51" s="331">
        <f t="shared" si="21"/>
        <v>1</v>
      </c>
      <c r="AK51" s="328">
        <f t="shared" si="22"/>
        <v>505</v>
      </c>
      <c r="AL51" s="329">
        <f t="shared" si="23"/>
        <v>4</v>
      </c>
      <c r="AM51" s="343"/>
      <c r="AN51" s="331">
        <f t="shared" si="24"/>
      </c>
      <c r="AO51" s="343">
        <f>575413.5+2968+2376+2737+2376+2376+4752+2376+952+1780+226+286+162+6416+4040</f>
        <v>609236.5</v>
      </c>
      <c r="AP51" s="348">
        <f>83313+742+594+635+594+594+1188+594+238+445+36+42+39+1604+1010</f>
        <v>91668</v>
      </c>
      <c r="AQ51" s="337">
        <f t="shared" si="25"/>
        <v>6.646119692804469</v>
      </c>
      <c r="AR51" s="266">
        <v>40928</v>
      </c>
      <c r="AS51" s="494" t="s">
        <v>349</v>
      </c>
      <c r="AT51" s="62"/>
    </row>
    <row r="52" spans="1:46" s="10" customFormat="1" ht="15" customHeight="1">
      <c r="A52" s="539" t="s">
        <v>517</v>
      </c>
      <c r="B52" s="526"/>
      <c r="C52" s="473" t="s">
        <v>261</v>
      </c>
      <c r="D52" s="470"/>
      <c r="E52" s="470"/>
      <c r="F52" s="470"/>
      <c r="G52" s="481" t="s">
        <v>292</v>
      </c>
      <c r="H52" s="471"/>
      <c r="I52" s="471"/>
      <c r="J52" s="240" t="s">
        <v>65</v>
      </c>
      <c r="K52" s="72" t="s">
        <v>91</v>
      </c>
      <c r="L52" s="66" t="s">
        <v>94</v>
      </c>
      <c r="M52" s="72" t="s">
        <v>65</v>
      </c>
      <c r="N52" s="269">
        <v>40837</v>
      </c>
      <c r="O52" s="68" t="s">
        <v>12</v>
      </c>
      <c r="P52" s="325">
        <v>112</v>
      </c>
      <c r="Q52" s="326">
        <v>1</v>
      </c>
      <c r="R52" s="326">
        <v>14</v>
      </c>
      <c r="S52" s="327">
        <v>523</v>
      </c>
      <c r="T52" s="503">
        <v>74</v>
      </c>
      <c r="U52" s="504">
        <v>625</v>
      </c>
      <c r="V52" s="503">
        <v>88</v>
      </c>
      <c r="W52" s="504">
        <v>728</v>
      </c>
      <c r="X52" s="503">
        <v>102</v>
      </c>
      <c r="Y52" s="486">
        <f t="shared" si="16"/>
        <v>1876</v>
      </c>
      <c r="Z52" s="487">
        <f t="shared" si="17"/>
        <v>264</v>
      </c>
      <c r="AA52" s="328">
        <f>IF(Y52&lt;&gt;0,Z52/Q52,"")</f>
        <v>264</v>
      </c>
      <c r="AB52" s="329">
        <f>IF(Y52&lt;&gt;0,Y52/Z52,"")</f>
        <v>7.106060606060606</v>
      </c>
      <c r="AC52" s="330">
        <v>677</v>
      </c>
      <c r="AD52" s="331">
        <f>IF(AC52&lt;&gt;0,-(AC52-Y52)/AC52,"")</f>
        <v>1.7710487444608567</v>
      </c>
      <c r="AE52" s="332">
        <f t="shared" si="18"/>
        <v>2065</v>
      </c>
      <c r="AF52" s="328">
        <f t="shared" si="19"/>
        <v>290</v>
      </c>
      <c r="AG52" s="367">
        <v>3941</v>
      </c>
      <c r="AH52" s="368">
        <v>554</v>
      </c>
      <c r="AI52" s="331">
        <f t="shared" si="20"/>
        <v>0.47653429602888087</v>
      </c>
      <c r="AJ52" s="331">
        <f t="shared" si="21"/>
        <v>0.5234657039711191</v>
      </c>
      <c r="AK52" s="328">
        <f t="shared" si="22"/>
        <v>554</v>
      </c>
      <c r="AL52" s="329">
        <f t="shared" si="23"/>
        <v>7.113718411552346</v>
      </c>
      <c r="AM52" s="333">
        <v>1003</v>
      </c>
      <c r="AN52" s="331">
        <f t="shared" si="24"/>
        <v>2.929212362911266</v>
      </c>
      <c r="AO52" s="333">
        <v>2341282</v>
      </c>
      <c r="AP52" s="334">
        <v>246371</v>
      </c>
      <c r="AQ52" s="337">
        <f t="shared" si="25"/>
        <v>9.503074631348657</v>
      </c>
      <c r="AR52" s="266">
        <v>40928</v>
      </c>
      <c r="AS52" s="493" t="s">
        <v>349</v>
      </c>
      <c r="AT52" s="62"/>
    </row>
    <row r="53" spans="1:46" s="10" customFormat="1" ht="15" customHeight="1">
      <c r="A53" s="539" t="s">
        <v>518</v>
      </c>
      <c r="B53" s="526"/>
      <c r="C53" s="473" t="s">
        <v>261</v>
      </c>
      <c r="D53" s="470"/>
      <c r="E53" s="470"/>
      <c r="F53" s="540"/>
      <c r="G53" s="470"/>
      <c r="H53" s="471"/>
      <c r="I53" s="472"/>
      <c r="J53" s="243" t="s">
        <v>450</v>
      </c>
      <c r="K53" s="67" t="s">
        <v>467</v>
      </c>
      <c r="L53" s="67" t="s">
        <v>89</v>
      </c>
      <c r="M53" s="67" t="s">
        <v>458</v>
      </c>
      <c r="N53" s="268">
        <v>40648</v>
      </c>
      <c r="O53" s="68" t="s">
        <v>68</v>
      </c>
      <c r="P53" s="325">
        <v>72</v>
      </c>
      <c r="Q53" s="326">
        <v>1</v>
      </c>
      <c r="R53" s="326">
        <v>26</v>
      </c>
      <c r="S53" s="506">
        <v>0</v>
      </c>
      <c r="T53" s="507">
        <v>0</v>
      </c>
      <c r="U53" s="506">
        <v>0</v>
      </c>
      <c r="V53" s="507">
        <v>0</v>
      </c>
      <c r="W53" s="506">
        <v>0</v>
      </c>
      <c r="X53" s="507">
        <v>0</v>
      </c>
      <c r="Y53" s="486">
        <f t="shared" si="16"/>
        <v>0</v>
      </c>
      <c r="Z53" s="487">
        <f t="shared" si="17"/>
        <v>0</v>
      </c>
      <c r="AA53" s="328"/>
      <c r="AB53" s="329"/>
      <c r="AC53" s="330"/>
      <c r="AD53" s="331"/>
      <c r="AE53" s="332">
        <f t="shared" si="18"/>
        <v>3801.5</v>
      </c>
      <c r="AF53" s="328">
        <f t="shared" si="19"/>
        <v>950</v>
      </c>
      <c r="AG53" s="371">
        <v>3801.5</v>
      </c>
      <c r="AH53" s="372">
        <v>950</v>
      </c>
      <c r="AI53" s="331">
        <f t="shared" si="20"/>
        <v>0</v>
      </c>
      <c r="AJ53" s="331">
        <f t="shared" si="21"/>
        <v>1</v>
      </c>
      <c r="AK53" s="328">
        <f t="shared" si="22"/>
        <v>950</v>
      </c>
      <c r="AL53" s="329">
        <f t="shared" si="23"/>
        <v>4.001578947368421</v>
      </c>
      <c r="AM53" s="343"/>
      <c r="AN53" s="331">
        <f t="shared" si="24"/>
      </c>
      <c r="AO53" s="343">
        <f>313705+218661+94172+73484.5+60319.5+15976+18868+7512+25645.5+15093+6591+2599+2683+1937.5+1629+2257+1715+1468+632+686+483+950+882+2440.5+336+3801.5</f>
        <v>874527</v>
      </c>
      <c r="AP53" s="348">
        <f>29673+21437+10530+10169+8845+2631+2981+1155+3600+2641+1030+393+512+262+251+329+256+223+101+108+77+153+142+619+90+950</f>
        <v>99158</v>
      </c>
      <c r="AQ53" s="337">
        <f t="shared" si="25"/>
        <v>8.819530446358337</v>
      </c>
      <c r="AR53" s="266">
        <v>40928</v>
      </c>
      <c r="AS53" s="494" t="s">
        <v>349</v>
      </c>
      <c r="AT53" s="62"/>
    </row>
    <row r="54" spans="1:46" s="10" customFormat="1" ht="15" customHeight="1">
      <c r="A54" s="539" t="s">
        <v>519</v>
      </c>
      <c r="B54" s="526"/>
      <c r="C54" s="473" t="s">
        <v>261</v>
      </c>
      <c r="D54" s="482" t="s">
        <v>223</v>
      </c>
      <c r="E54" s="470"/>
      <c r="F54" s="540"/>
      <c r="G54" s="470"/>
      <c r="H54" s="471"/>
      <c r="I54" s="472"/>
      <c r="J54" s="243" t="s">
        <v>451</v>
      </c>
      <c r="K54" s="67" t="s">
        <v>468</v>
      </c>
      <c r="L54" s="67" t="s">
        <v>89</v>
      </c>
      <c r="M54" s="67" t="s">
        <v>459</v>
      </c>
      <c r="N54" s="268">
        <v>40781</v>
      </c>
      <c r="O54" s="68" t="s">
        <v>68</v>
      </c>
      <c r="P54" s="325">
        <v>96</v>
      </c>
      <c r="Q54" s="326">
        <v>1</v>
      </c>
      <c r="R54" s="326">
        <v>17</v>
      </c>
      <c r="S54" s="506">
        <v>0</v>
      </c>
      <c r="T54" s="507">
        <v>0</v>
      </c>
      <c r="U54" s="506">
        <v>0</v>
      </c>
      <c r="V54" s="507">
        <v>0</v>
      </c>
      <c r="W54" s="506">
        <v>0</v>
      </c>
      <c r="X54" s="507">
        <v>0</v>
      </c>
      <c r="Y54" s="486">
        <f t="shared" si="16"/>
        <v>0</v>
      </c>
      <c r="Z54" s="487">
        <f t="shared" si="17"/>
        <v>0</v>
      </c>
      <c r="AA54" s="328"/>
      <c r="AB54" s="329"/>
      <c r="AC54" s="330"/>
      <c r="AD54" s="331"/>
      <c r="AE54" s="332">
        <f t="shared" si="18"/>
        <v>3564</v>
      </c>
      <c r="AF54" s="328">
        <f t="shared" si="19"/>
        <v>892</v>
      </c>
      <c r="AG54" s="371">
        <v>3564</v>
      </c>
      <c r="AH54" s="372">
        <v>892</v>
      </c>
      <c r="AI54" s="331">
        <f t="shared" si="20"/>
        <v>0</v>
      </c>
      <c r="AJ54" s="331">
        <f t="shared" si="21"/>
        <v>1</v>
      </c>
      <c r="AK54" s="328">
        <f t="shared" si="22"/>
        <v>892</v>
      </c>
      <c r="AL54" s="329">
        <f t="shared" si="23"/>
        <v>3.995515695067265</v>
      </c>
      <c r="AM54" s="343"/>
      <c r="AN54" s="331">
        <f t="shared" si="24"/>
      </c>
      <c r="AO54" s="343">
        <f>29056+844874+618474.25+386880.75+207889+130968.5+129398.5+101615+71628.5+47296.5+22263.5+13505+4171.5+5940+3840+5098.5+8056+3564</f>
        <v>2634519.5</v>
      </c>
      <c r="AP54" s="348">
        <f>4385+80857+63348+40336+22079+15879+16790+12949+9380+7537+4227+2497+926+1486+944+1206+1963+892</f>
        <v>287681</v>
      </c>
      <c r="AQ54" s="337">
        <f t="shared" si="25"/>
        <v>9.157780666780218</v>
      </c>
      <c r="AR54" s="266">
        <v>40928</v>
      </c>
      <c r="AS54" s="494" t="s">
        <v>349</v>
      </c>
      <c r="AT54" s="62"/>
    </row>
    <row r="55" spans="1:46" s="10" customFormat="1" ht="15" customHeight="1">
      <c r="A55" s="539" t="s">
        <v>520</v>
      </c>
      <c r="B55" s="526"/>
      <c r="C55" s="473" t="s">
        <v>261</v>
      </c>
      <c r="D55" s="540"/>
      <c r="E55" s="540"/>
      <c r="F55" s="470"/>
      <c r="G55" s="540"/>
      <c r="H55" s="471"/>
      <c r="I55" s="472"/>
      <c r="J55" s="256" t="s">
        <v>441</v>
      </c>
      <c r="K55" s="65" t="s">
        <v>442</v>
      </c>
      <c r="L55" s="68" t="s">
        <v>394</v>
      </c>
      <c r="M55" s="68" t="s">
        <v>443</v>
      </c>
      <c r="N55" s="268">
        <v>40816</v>
      </c>
      <c r="O55" s="68" t="s">
        <v>370</v>
      </c>
      <c r="P55" s="325">
        <v>41</v>
      </c>
      <c r="Q55" s="549">
        <v>2</v>
      </c>
      <c r="R55" s="549">
        <v>12</v>
      </c>
      <c r="S55" s="506">
        <v>0</v>
      </c>
      <c r="T55" s="507">
        <v>0</v>
      </c>
      <c r="U55" s="506">
        <v>0</v>
      </c>
      <c r="V55" s="507">
        <v>0</v>
      </c>
      <c r="W55" s="506">
        <v>0</v>
      </c>
      <c r="X55" s="507">
        <v>0</v>
      </c>
      <c r="Y55" s="486">
        <f t="shared" si="16"/>
        <v>0</v>
      </c>
      <c r="Z55" s="487">
        <f t="shared" si="17"/>
        <v>0</v>
      </c>
      <c r="AA55" s="328"/>
      <c r="AB55" s="329"/>
      <c r="AC55" s="345"/>
      <c r="AD55" s="331"/>
      <c r="AE55" s="332">
        <f t="shared" si="18"/>
        <v>3084</v>
      </c>
      <c r="AF55" s="328">
        <f t="shared" si="19"/>
        <v>617</v>
      </c>
      <c r="AG55" s="375">
        <v>3084</v>
      </c>
      <c r="AH55" s="376">
        <v>617</v>
      </c>
      <c r="AI55" s="331">
        <f t="shared" si="20"/>
        <v>0</v>
      </c>
      <c r="AJ55" s="331">
        <f t="shared" si="21"/>
        <v>1</v>
      </c>
      <c r="AK55" s="328">
        <f t="shared" si="22"/>
        <v>308.5</v>
      </c>
      <c r="AL55" s="329">
        <f t="shared" si="23"/>
        <v>4.99837925445705</v>
      </c>
      <c r="AM55" s="343"/>
      <c r="AN55" s="331">
        <f t="shared" si="24"/>
      </c>
      <c r="AO55" s="350">
        <v>1283193</v>
      </c>
      <c r="AP55" s="351">
        <v>101565</v>
      </c>
      <c r="AQ55" s="337">
        <f t="shared" si="25"/>
        <v>12.63420469649978</v>
      </c>
      <c r="AR55" s="266">
        <v>40928</v>
      </c>
      <c r="AS55" s="494" t="s">
        <v>349</v>
      </c>
      <c r="AT55" s="304"/>
    </row>
    <row r="56" spans="1:46" s="10" customFormat="1" ht="15" customHeight="1">
      <c r="A56" s="539" t="s">
        <v>372</v>
      </c>
      <c r="B56" s="527"/>
      <c r="C56" s="473" t="s">
        <v>261</v>
      </c>
      <c r="D56" s="482" t="s">
        <v>223</v>
      </c>
      <c r="E56" s="480"/>
      <c r="F56" s="470"/>
      <c r="G56" s="481" t="s">
        <v>292</v>
      </c>
      <c r="H56" s="475" t="s">
        <v>55</v>
      </c>
      <c r="I56" s="478"/>
      <c r="J56" s="238" t="s">
        <v>472</v>
      </c>
      <c r="K56" s="70" t="s">
        <v>444</v>
      </c>
      <c r="L56" s="65" t="s">
        <v>186</v>
      </c>
      <c r="M56" s="70" t="s">
        <v>473</v>
      </c>
      <c r="N56" s="269">
        <v>39192</v>
      </c>
      <c r="O56" s="68" t="s">
        <v>53</v>
      </c>
      <c r="P56" s="550">
        <v>23</v>
      </c>
      <c r="Q56" s="551">
        <v>82</v>
      </c>
      <c r="R56" s="551">
        <v>1</v>
      </c>
      <c r="S56" s="506">
        <v>0</v>
      </c>
      <c r="T56" s="507">
        <v>0</v>
      </c>
      <c r="U56" s="506">
        <v>0</v>
      </c>
      <c r="V56" s="507">
        <v>0</v>
      </c>
      <c r="W56" s="506">
        <v>0</v>
      </c>
      <c r="X56" s="507">
        <v>0</v>
      </c>
      <c r="Y56" s="486">
        <f t="shared" si="16"/>
        <v>0</v>
      </c>
      <c r="Z56" s="487">
        <f t="shared" si="17"/>
        <v>0</v>
      </c>
      <c r="AA56" s="328"/>
      <c r="AB56" s="329"/>
      <c r="AC56" s="330"/>
      <c r="AD56" s="331"/>
      <c r="AE56" s="332">
        <f t="shared" si="18"/>
        <v>3003</v>
      </c>
      <c r="AF56" s="328">
        <f t="shared" si="19"/>
        <v>600</v>
      </c>
      <c r="AG56" s="367">
        <v>3003</v>
      </c>
      <c r="AH56" s="368">
        <v>600</v>
      </c>
      <c r="AI56" s="331">
        <f t="shared" si="20"/>
        <v>0</v>
      </c>
      <c r="AJ56" s="331">
        <f t="shared" si="21"/>
        <v>1</v>
      </c>
      <c r="AK56" s="328">
        <f t="shared" si="22"/>
        <v>7.317073170731708</v>
      </c>
      <c r="AL56" s="329">
        <f t="shared" si="23"/>
        <v>5.005</v>
      </c>
      <c r="AM56" s="333"/>
      <c r="AN56" s="331">
        <f t="shared" si="24"/>
      </c>
      <c r="AO56" s="333">
        <f>407730+156171.5+87089+48964+29084+13173.5+8330+7579.5+805.5+1100+1464+3021+264+123+23+430+70+2408+0.5+234+42+54+3003</f>
        <v>771163.5</v>
      </c>
      <c r="AP56" s="334">
        <f>48903+19527+11239+7709+5693+3389+1770+1751+250+248+325+755+88+19+3+86+14+602+39+7+9+600</f>
        <v>103026</v>
      </c>
      <c r="AQ56" s="337">
        <f t="shared" si="25"/>
        <v>7.485134820336614</v>
      </c>
      <c r="AR56" s="266">
        <v>40928</v>
      </c>
      <c r="AS56" s="493" t="s">
        <v>349</v>
      </c>
      <c r="AT56" s="62"/>
    </row>
    <row r="57" spans="1:46" s="10" customFormat="1" ht="15" customHeight="1">
      <c r="A57" s="539" t="s">
        <v>521</v>
      </c>
      <c r="B57" s="526"/>
      <c r="C57" s="473" t="s">
        <v>261</v>
      </c>
      <c r="D57" s="540"/>
      <c r="E57" s="540"/>
      <c r="F57" s="470"/>
      <c r="G57" s="540"/>
      <c r="H57" s="471"/>
      <c r="I57" s="474" t="s">
        <v>54</v>
      </c>
      <c r="J57" s="256" t="s">
        <v>120</v>
      </c>
      <c r="K57" s="65" t="s">
        <v>122</v>
      </c>
      <c r="L57" s="68"/>
      <c r="M57" s="68" t="s">
        <v>120</v>
      </c>
      <c r="N57" s="268">
        <v>40886</v>
      </c>
      <c r="O57" s="68" t="s">
        <v>121</v>
      </c>
      <c r="P57" s="325">
        <v>82</v>
      </c>
      <c r="Q57" s="344">
        <v>5</v>
      </c>
      <c r="R57" s="344">
        <v>7</v>
      </c>
      <c r="S57" s="501">
        <v>600</v>
      </c>
      <c r="T57" s="502">
        <v>103</v>
      </c>
      <c r="U57" s="501">
        <v>587</v>
      </c>
      <c r="V57" s="502">
        <v>98</v>
      </c>
      <c r="W57" s="501">
        <v>769</v>
      </c>
      <c r="X57" s="502">
        <v>129</v>
      </c>
      <c r="Y57" s="486">
        <f t="shared" si="16"/>
        <v>1956</v>
      </c>
      <c r="Z57" s="487">
        <f t="shared" si="17"/>
        <v>330</v>
      </c>
      <c r="AA57" s="328">
        <f>IF(Y57&lt;&gt;0,Z57/Q57,"")</f>
        <v>66</v>
      </c>
      <c r="AB57" s="329">
        <f>IF(Y57&lt;&gt;0,Y57/Z57,"")</f>
        <v>5.927272727272728</v>
      </c>
      <c r="AC57" s="345">
        <v>2219</v>
      </c>
      <c r="AD57" s="331">
        <f>IF(AC57&lt;&gt;0,-(AC57-Y57)/AC57,"")</f>
        <v>-0.11852185669220369</v>
      </c>
      <c r="AE57" s="332">
        <f t="shared" si="18"/>
        <v>1001.9000000000001</v>
      </c>
      <c r="AF57" s="328">
        <f t="shared" si="19"/>
        <v>163</v>
      </c>
      <c r="AG57" s="377">
        <v>2957.9</v>
      </c>
      <c r="AH57" s="378">
        <v>493</v>
      </c>
      <c r="AI57" s="331">
        <f t="shared" si="20"/>
        <v>0.6693711967545639</v>
      </c>
      <c r="AJ57" s="331">
        <f t="shared" si="21"/>
        <v>0.3306288032454361</v>
      </c>
      <c r="AK57" s="328">
        <f t="shared" si="22"/>
        <v>98.6</v>
      </c>
      <c r="AL57" s="329">
        <f t="shared" si="23"/>
        <v>5.999797160243408</v>
      </c>
      <c r="AM57" s="343">
        <v>4728</v>
      </c>
      <c r="AN57" s="331">
        <f t="shared" si="24"/>
        <v>-0.3743866328257191</v>
      </c>
      <c r="AO57" s="358">
        <v>645699.9</v>
      </c>
      <c r="AP57" s="359">
        <v>74489</v>
      </c>
      <c r="AQ57" s="337">
        <f t="shared" si="25"/>
        <v>8.668392648578985</v>
      </c>
      <c r="AR57" s="266">
        <v>40928</v>
      </c>
      <c r="AS57" s="494">
        <v>28</v>
      </c>
      <c r="AT57" s="62"/>
    </row>
    <row r="58" spans="1:46" s="10" customFormat="1" ht="15" customHeight="1">
      <c r="A58" s="539" t="s">
        <v>522</v>
      </c>
      <c r="B58" s="526"/>
      <c r="C58" s="473" t="s">
        <v>261</v>
      </c>
      <c r="D58" s="482" t="s">
        <v>223</v>
      </c>
      <c r="E58" s="470"/>
      <c r="F58" s="540"/>
      <c r="G58" s="470"/>
      <c r="H58" s="475" t="s">
        <v>55</v>
      </c>
      <c r="I58" s="472"/>
      <c r="J58" s="243" t="s">
        <v>452</v>
      </c>
      <c r="K58" s="67" t="s">
        <v>456</v>
      </c>
      <c r="L58" s="67" t="s">
        <v>89</v>
      </c>
      <c r="M58" s="67" t="s">
        <v>460</v>
      </c>
      <c r="N58" s="268">
        <v>39864</v>
      </c>
      <c r="O58" s="68" t="s">
        <v>68</v>
      </c>
      <c r="P58" s="325">
        <v>55</v>
      </c>
      <c r="Q58" s="432">
        <v>1</v>
      </c>
      <c r="R58" s="432">
        <v>37</v>
      </c>
      <c r="S58" s="506">
        <v>0</v>
      </c>
      <c r="T58" s="507">
        <v>0</v>
      </c>
      <c r="U58" s="506">
        <v>0</v>
      </c>
      <c r="V58" s="507">
        <v>0</v>
      </c>
      <c r="W58" s="506">
        <v>0</v>
      </c>
      <c r="X58" s="507">
        <v>0</v>
      </c>
      <c r="Y58" s="486">
        <f t="shared" si="16"/>
        <v>0</v>
      </c>
      <c r="Z58" s="487">
        <f t="shared" si="17"/>
        <v>0</v>
      </c>
      <c r="AA58" s="328"/>
      <c r="AB58" s="329"/>
      <c r="AC58" s="330"/>
      <c r="AD58" s="331"/>
      <c r="AE58" s="332">
        <f t="shared" si="18"/>
        <v>2852</v>
      </c>
      <c r="AF58" s="328">
        <f t="shared" si="19"/>
        <v>713</v>
      </c>
      <c r="AG58" s="371">
        <v>2852</v>
      </c>
      <c r="AH58" s="372">
        <v>713</v>
      </c>
      <c r="AI58" s="331">
        <f t="shared" si="20"/>
        <v>0</v>
      </c>
      <c r="AJ58" s="331">
        <f t="shared" si="21"/>
        <v>1</v>
      </c>
      <c r="AK58" s="328">
        <f t="shared" si="22"/>
        <v>713</v>
      </c>
      <c r="AL58" s="329">
        <f t="shared" si="23"/>
        <v>4</v>
      </c>
      <c r="AM58" s="343"/>
      <c r="AN58" s="331">
        <f t="shared" si="24"/>
      </c>
      <c r="AO58" s="343">
        <f>190777.5+154065+60826.5+20820+23589+29712+19396.5+16102+12940+11034+3005+981+1140+40+98.25+284+1000+300+220+1211.5+155+156+63+1780+5228+1780+450+952+145+640+2445+2376+2376+2376+4752+2376+2852</f>
        <v>578444.25</v>
      </c>
      <c r="AP58" s="348">
        <f>20518+17650+7809+3283+4115+5826+3911+3770+2981+2505+653+199+194+8+18+60+100+75+44+292+22+22+19+445+1307+445+75+238+29+128+383+594+594+594+1188+594+713</f>
        <v>81401</v>
      </c>
      <c r="AQ58" s="337">
        <f t="shared" si="25"/>
        <v>7.106107418827778</v>
      </c>
      <c r="AR58" s="266">
        <v>40928</v>
      </c>
      <c r="AS58" s="494" t="s">
        <v>349</v>
      </c>
      <c r="AT58" s="62"/>
    </row>
    <row r="59" spans="1:46" s="10" customFormat="1" ht="15" customHeight="1">
      <c r="A59" s="539" t="s">
        <v>523</v>
      </c>
      <c r="B59" s="526"/>
      <c r="C59" s="473" t="s">
        <v>261</v>
      </c>
      <c r="D59" s="482" t="s">
        <v>223</v>
      </c>
      <c r="E59" s="470"/>
      <c r="F59" s="540"/>
      <c r="G59" s="481" t="s">
        <v>292</v>
      </c>
      <c r="H59" s="475" t="s">
        <v>55</v>
      </c>
      <c r="I59" s="472"/>
      <c r="J59" s="243" t="s">
        <v>453</v>
      </c>
      <c r="K59" s="67" t="s">
        <v>457</v>
      </c>
      <c r="L59" s="67"/>
      <c r="M59" s="67" t="s">
        <v>461</v>
      </c>
      <c r="N59" s="268">
        <v>39878</v>
      </c>
      <c r="O59" s="68" t="s">
        <v>68</v>
      </c>
      <c r="P59" s="325">
        <v>39</v>
      </c>
      <c r="Q59" s="432">
        <v>1</v>
      </c>
      <c r="R59" s="432">
        <v>39</v>
      </c>
      <c r="S59" s="506">
        <v>0</v>
      </c>
      <c r="T59" s="507">
        <v>0</v>
      </c>
      <c r="U59" s="506">
        <v>0</v>
      </c>
      <c r="V59" s="507">
        <v>0</v>
      </c>
      <c r="W59" s="506">
        <v>0</v>
      </c>
      <c r="X59" s="507">
        <v>0</v>
      </c>
      <c r="Y59" s="486">
        <f t="shared" si="16"/>
        <v>0</v>
      </c>
      <c r="Z59" s="487">
        <f t="shared" si="17"/>
        <v>0</v>
      </c>
      <c r="AA59" s="328"/>
      <c r="AB59" s="329"/>
      <c r="AC59" s="330"/>
      <c r="AD59" s="331"/>
      <c r="AE59" s="332">
        <f t="shared" si="18"/>
        <v>2852</v>
      </c>
      <c r="AF59" s="328">
        <f t="shared" si="19"/>
        <v>713</v>
      </c>
      <c r="AG59" s="371">
        <v>2852</v>
      </c>
      <c r="AH59" s="372">
        <v>713</v>
      </c>
      <c r="AI59" s="331">
        <f t="shared" si="20"/>
        <v>0</v>
      </c>
      <c r="AJ59" s="331">
        <f t="shared" si="21"/>
        <v>1</v>
      </c>
      <c r="AK59" s="328">
        <f t="shared" si="22"/>
        <v>713</v>
      </c>
      <c r="AL59" s="329">
        <f t="shared" si="23"/>
        <v>4</v>
      </c>
      <c r="AM59" s="343"/>
      <c r="AN59" s="331">
        <f t="shared" si="24"/>
      </c>
      <c r="AO59" s="343">
        <f>143992.5+82756.5+42509+41229+27290.5+16668+27602+17675+4710+8504.5+2403+4164+2272+3469+1997+135+299+674+178+30+240+1413+1006+209+393+680+1780+4040+1780+1780+952+745+2376+2376+2376+4752+2376+708+2852</f>
        <v>461392</v>
      </c>
      <c r="AP59" s="348">
        <f>15320+9228+5096+5970+4485+3115+5134+3946+1139+2307+509+879+411+637+472+29+62+165+32+6+48+348+139+43+54+68+445+1010+445+445+238+149+594+594+594+1188+594+164+713</f>
        <v>66815</v>
      </c>
      <c r="AQ59" s="337">
        <f t="shared" si="25"/>
        <v>6.905515228616329</v>
      </c>
      <c r="AR59" s="266">
        <v>40928</v>
      </c>
      <c r="AS59" s="494" t="s">
        <v>349</v>
      </c>
      <c r="AT59" s="62"/>
    </row>
    <row r="60" spans="1:46" s="10" customFormat="1" ht="15" customHeight="1">
      <c r="A60" s="539" t="s">
        <v>524</v>
      </c>
      <c r="B60" s="526"/>
      <c r="C60" s="473" t="s">
        <v>261</v>
      </c>
      <c r="D60" s="470"/>
      <c r="E60" s="470"/>
      <c r="F60" s="470"/>
      <c r="G60" s="470"/>
      <c r="H60" s="471"/>
      <c r="I60" s="471"/>
      <c r="J60" s="240" t="s">
        <v>108</v>
      </c>
      <c r="K60" s="65" t="s">
        <v>125</v>
      </c>
      <c r="L60" s="72" t="s">
        <v>124</v>
      </c>
      <c r="M60" s="72" t="s">
        <v>109</v>
      </c>
      <c r="N60" s="268">
        <v>40879</v>
      </c>
      <c r="O60" s="68" t="s">
        <v>12</v>
      </c>
      <c r="P60" s="325">
        <v>38</v>
      </c>
      <c r="Q60" s="326">
        <v>3</v>
      </c>
      <c r="R60" s="326">
        <v>8</v>
      </c>
      <c r="S60" s="327">
        <v>188</v>
      </c>
      <c r="T60" s="503">
        <v>30</v>
      </c>
      <c r="U60" s="504">
        <v>512</v>
      </c>
      <c r="V60" s="503">
        <v>82</v>
      </c>
      <c r="W60" s="504">
        <v>497</v>
      </c>
      <c r="X60" s="503">
        <v>75</v>
      </c>
      <c r="Y60" s="486">
        <f t="shared" si="16"/>
        <v>1197</v>
      </c>
      <c r="Z60" s="487">
        <f t="shared" si="17"/>
        <v>187</v>
      </c>
      <c r="AA60" s="328">
        <f aca="true" t="shared" si="26" ref="AA60:AA69">IF(Y60&lt;&gt;0,Z60/Q60,"")</f>
        <v>62.333333333333336</v>
      </c>
      <c r="AB60" s="329">
        <f aca="true" t="shared" si="27" ref="AB60:AB69">IF(Y60&lt;&gt;0,Y60/Z60,"")</f>
        <v>6.401069518716578</v>
      </c>
      <c r="AC60" s="330">
        <v>1482</v>
      </c>
      <c r="AD60" s="331">
        <f aca="true" t="shared" si="28" ref="AD60:AD69">IF(AC60&lt;&gt;0,-(AC60-Y60)/AC60,"")</f>
        <v>-0.19230769230769232</v>
      </c>
      <c r="AE60" s="332">
        <f t="shared" si="18"/>
        <v>1107</v>
      </c>
      <c r="AF60" s="328">
        <f t="shared" si="19"/>
        <v>179</v>
      </c>
      <c r="AG60" s="367">
        <v>2304</v>
      </c>
      <c r="AH60" s="368">
        <v>366</v>
      </c>
      <c r="AI60" s="331">
        <f t="shared" si="20"/>
        <v>0.5109289617486339</v>
      </c>
      <c r="AJ60" s="331">
        <f t="shared" si="21"/>
        <v>0.4890710382513661</v>
      </c>
      <c r="AK60" s="328">
        <f t="shared" si="22"/>
        <v>122</v>
      </c>
      <c r="AL60" s="329">
        <f t="shared" si="23"/>
        <v>6.295081967213115</v>
      </c>
      <c r="AM60" s="333">
        <v>3119</v>
      </c>
      <c r="AN60" s="331">
        <f t="shared" si="24"/>
        <v>-0.2613016992625842</v>
      </c>
      <c r="AO60" s="333">
        <v>493321</v>
      </c>
      <c r="AP60" s="334">
        <v>46669</v>
      </c>
      <c r="AQ60" s="337">
        <f t="shared" si="25"/>
        <v>10.57063575392659</v>
      </c>
      <c r="AR60" s="266">
        <v>40928</v>
      </c>
      <c r="AS60" s="494">
        <v>34</v>
      </c>
      <c r="AT60" s="62"/>
    </row>
    <row r="61" spans="1:46" s="10" customFormat="1" ht="15" customHeight="1">
      <c r="A61" s="539" t="s">
        <v>525</v>
      </c>
      <c r="B61" s="526"/>
      <c r="C61" s="473" t="s">
        <v>261</v>
      </c>
      <c r="D61" s="470"/>
      <c r="E61" s="470"/>
      <c r="F61" s="470"/>
      <c r="G61" s="470"/>
      <c r="H61" s="475" t="s">
        <v>55</v>
      </c>
      <c r="I61" s="472"/>
      <c r="J61" s="243" t="s">
        <v>355</v>
      </c>
      <c r="K61" s="67" t="s">
        <v>365</v>
      </c>
      <c r="L61" s="67" t="s">
        <v>85</v>
      </c>
      <c r="M61" s="67" t="s">
        <v>362</v>
      </c>
      <c r="N61" s="268">
        <v>40347</v>
      </c>
      <c r="O61" s="68" t="s">
        <v>68</v>
      </c>
      <c r="P61" s="325">
        <v>66</v>
      </c>
      <c r="Q61" s="326">
        <v>1</v>
      </c>
      <c r="R61" s="326">
        <v>34</v>
      </c>
      <c r="S61" s="506">
        <v>0</v>
      </c>
      <c r="T61" s="507">
        <v>0</v>
      </c>
      <c r="U61" s="506">
        <v>0</v>
      </c>
      <c r="V61" s="507">
        <v>0</v>
      </c>
      <c r="W61" s="506">
        <v>0</v>
      </c>
      <c r="X61" s="507">
        <v>0</v>
      </c>
      <c r="Y61" s="486">
        <f t="shared" si="16"/>
        <v>0</v>
      </c>
      <c r="Z61" s="487">
        <f t="shared" si="17"/>
        <v>0</v>
      </c>
      <c r="AA61" s="328">
        <f t="shared" si="26"/>
      </c>
      <c r="AB61" s="329">
        <f t="shared" si="27"/>
      </c>
      <c r="AC61" s="330">
        <v>0</v>
      </c>
      <c r="AD61" s="331">
        <f t="shared" si="28"/>
      </c>
      <c r="AE61" s="332">
        <f t="shared" si="18"/>
        <v>2138.5</v>
      </c>
      <c r="AF61" s="328">
        <f t="shared" si="19"/>
        <v>535</v>
      </c>
      <c r="AG61" s="371">
        <v>2138.5</v>
      </c>
      <c r="AH61" s="372">
        <v>535</v>
      </c>
      <c r="AI61" s="331">
        <f t="shared" si="20"/>
        <v>0</v>
      </c>
      <c r="AJ61" s="331">
        <f t="shared" si="21"/>
        <v>1</v>
      </c>
      <c r="AK61" s="328">
        <f t="shared" si="22"/>
        <v>535</v>
      </c>
      <c r="AL61" s="329">
        <f t="shared" si="23"/>
        <v>3.997196261682243</v>
      </c>
      <c r="AM61" s="343"/>
      <c r="AN61" s="331">
        <f t="shared" si="24"/>
      </c>
      <c r="AO61" s="343">
        <f>478213+7083+3309.5+6055+4900+8378+4378.5+2349+3103+2074+7679.5+6108+2991.5+2180+2234+642+2775.5+1757+1151+3382+60+1782+2851+1188+713+286+2138.5+2138.5+2138.5</f>
        <v>564039</v>
      </c>
      <c r="AP61" s="348">
        <f>55327+1259+553+1133+756+1285+650+408+682+334+1688+1394+539+483+475+201+677+260+202+852+20+445+712+297+178+67+535+535+535</f>
        <v>72482</v>
      </c>
      <c r="AQ61" s="337">
        <f t="shared" si="25"/>
        <v>7.781780304075495</v>
      </c>
      <c r="AR61" s="266">
        <v>40928</v>
      </c>
      <c r="AS61" s="494">
        <v>38</v>
      </c>
      <c r="AT61" s="62"/>
    </row>
    <row r="62" spans="1:46" s="10" customFormat="1" ht="15" customHeight="1">
      <c r="A62" s="539" t="s">
        <v>526</v>
      </c>
      <c r="B62" s="526"/>
      <c r="C62" s="473" t="s">
        <v>261</v>
      </c>
      <c r="D62" s="470"/>
      <c r="E62" s="470"/>
      <c r="F62" s="470"/>
      <c r="G62" s="470"/>
      <c r="H62" s="475" t="s">
        <v>55</v>
      </c>
      <c r="I62" s="472"/>
      <c r="J62" s="243" t="s">
        <v>368</v>
      </c>
      <c r="K62" s="67" t="s">
        <v>367</v>
      </c>
      <c r="L62" s="67" t="s">
        <v>128</v>
      </c>
      <c r="M62" s="67" t="s">
        <v>363</v>
      </c>
      <c r="N62" s="268">
        <v>40746</v>
      </c>
      <c r="O62" s="68" t="s">
        <v>68</v>
      </c>
      <c r="P62" s="325">
        <v>1</v>
      </c>
      <c r="Q62" s="326">
        <v>1</v>
      </c>
      <c r="R62" s="326">
        <v>8</v>
      </c>
      <c r="S62" s="506">
        <v>0</v>
      </c>
      <c r="T62" s="507">
        <v>0</v>
      </c>
      <c r="U62" s="506">
        <v>0</v>
      </c>
      <c r="V62" s="507">
        <v>0</v>
      </c>
      <c r="W62" s="506">
        <v>0</v>
      </c>
      <c r="X62" s="507">
        <v>0</v>
      </c>
      <c r="Y62" s="486">
        <f t="shared" si="16"/>
        <v>0</v>
      </c>
      <c r="Z62" s="487">
        <f t="shared" si="17"/>
        <v>0</v>
      </c>
      <c r="AA62" s="328">
        <f t="shared" si="26"/>
      </c>
      <c r="AB62" s="329">
        <f t="shared" si="27"/>
      </c>
      <c r="AC62" s="330">
        <v>0</v>
      </c>
      <c r="AD62" s="331">
        <f t="shared" si="28"/>
      </c>
      <c r="AE62" s="332">
        <f t="shared" si="18"/>
        <v>2138.5</v>
      </c>
      <c r="AF62" s="328">
        <f t="shared" si="19"/>
        <v>535</v>
      </c>
      <c r="AG62" s="371">
        <v>2138.5</v>
      </c>
      <c r="AH62" s="372">
        <v>535</v>
      </c>
      <c r="AI62" s="331">
        <f t="shared" si="20"/>
        <v>0</v>
      </c>
      <c r="AJ62" s="331">
        <f t="shared" si="21"/>
        <v>1</v>
      </c>
      <c r="AK62" s="328">
        <f t="shared" si="22"/>
        <v>535</v>
      </c>
      <c r="AL62" s="329">
        <f t="shared" si="23"/>
        <v>3.997196261682243</v>
      </c>
      <c r="AM62" s="343"/>
      <c r="AN62" s="331">
        <f t="shared" si="24"/>
      </c>
      <c r="AO62" s="343">
        <f>5298+3611+922.5+907+181+268.5+2138.5+2138.5+2138.5+2138.5</f>
        <v>19742</v>
      </c>
      <c r="AP62" s="348">
        <f>334+225+67+122+18+21+535+535+535+535</f>
        <v>2927</v>
      </c>
      <c r="AQ62" s="337">
        <f t="shared" si="25"/>
        <v>6.744789887256577</v>
      </c>
      <c r="AR62" s="266">
        <v>40928</v>
      </c>
      <c r="AS62" s="494">
        <v>39</v>
      </c>
      <c r="AT62" s="62"/>
    </row>
    <row r="63" spans="1:46" s="10" customFormat="1" ht="15.75">
      <c r="A63" s="539" t="s">
        <v>407</v>
      </c>
      <c r="B63" s="526"/>
      <c r="C63" s="473" t="s">
        <v>261</v>
      </c>
      <c r="D63" s="482" t="s">
        <v>223</v>
      </c>
      <c r="E63" s="470"/>
      <c r="F63" s="470"/>
      <c r="G63" s="470"/>
      <c r="H63" s="475" t="s">
        <v>55</v>
      </c>
      <c r="I63" s="471"/>
      <c r="J63" s="243" t="s">
        <v>272</v>
      </c>
      <c r="K63" s="65" t="s">
        <v>289</v>
      </c>
      <c r="L63" s="69" t="s">
        <v>85</v>
      </c>
      <c r="M63" s="67" t="s">
        <v>288</v>
      </c>
      <c r="N63" s="268">
        <v>40655</v>
      </c>
      <c r="O63" s="68" t="s">
        <v>68</v>
      </c>
      <c r="P63" s="325">
        <v>156</v>
      </c>
      <c r="Q63" s="326">
        <v>1</v>
      </c>
      <c r="R63" s="326">
        <v>25</v>
      </c>
      <c r="S63" s="345">
        <v>0</v>
      </c>
      <c r="T63" s="507">
        <v>0</v>
      </c>
      <c r="U63" s="506">
        <v>0</v>
      </c>
      <c r="V63" s="507">
        <v>0</v>
      </c>
      <c r="W63" s="506">
        <v>0</v>
      </c>
      <c r="X63" s="507">
        <v>0</v>
      </c>
      <c r="Y63" s="486">
        <f t="shared" si="16"/>
        <v>0</v>
      </c>
      <c r="Z63" s="487">
        <f t="shared" si="17"/>
        <v>0</v>
      </c>
      <c r="AA63" s="328">
        <f t="shared" si="26"/>
      </c>
      <c r="AB63" s="329">
        <f t="shared" si="27"/>
      </c>
      <c r="AC63" s="330">
        <v>0</v>
      </c>
      <c r="AD63" s="331">
        <f t="shared" si="28"/>
      </c>
      <c r="AE63" s="332">
        <f t="shared" si="18"/>
        <v>1917</v>
      </c>
      <c r="AF63" s="328">
        <f t="shared" si="19"/>
        <v>847</v>
      </c>
      <c r="AG63" s="371">
        <v>1917</v>
      </c>
      <c r="AH63" s="372">
        <v>847</v>
      </c>
      <c r="AI63" s="331">
        <f t="shared" si="20"/>
        <v>0</v>
      </c>
      <c r="AJ63" s="331">
        <f t="shared" si="21"/>
        <v>1</v>
      </c>
      <c r="AK63" s="328">
        <f t="shared" si="22"/>
        <v>847</v>
      </c>
      <c r="AL63" s="329">
        <f t="shared" si="23"/>
        <v>2.2632821723730814</v>
      </c>
      <c r="AM63" s="343">
        <v>84</v>
      </c>
      <c r="AN63" s="331">
        <f t="shared" si="24"/>
        <v>21.821428571428573</v>
      </c>
      <c r="AO63" s="343">
        <f>633760.5+136320.5+35218.5+12632+4659.5+2946+8058+2678+3172+3399.5+598+564+1471+2243+357+860+1425.5+8382.5+1782+968+1958+1164+407.5+84+1917</f>
        <v>867026</v>
      </c>
      <c r="AP63" s="348">
        <f>74640+17307+4811+1875+917+522+1372+426+632+730+116+93+159+384+67+172+356+2088+446+190+480+372+60+12+847</f>
        <v>109074</v>
      </c>
      <c r="AQ63" s="337">
        <f t="shared" si="25"/>
        <v>7.948970423749015</v>
      </c>
      <c r="AR63" s="266">
        <v>40928</v>
      </c>
      <c r="AS63" s="493" t="s">
        <v>349</v>
      </c>
      <c r="AT63" s="62"/>
    </row>
    <row r="64" spans="1:46" s="10" customFormat="1" ht="15.75">
      <c r="A64" s="539" t="s">
        <v>527</v>
      </c>
      <c r="B64" s="527"/>
      <c r="C64" s="473" t="s">
        <v>261</v>
      </c>
      <c r="D64" s="482" t="s">
        <v>223</v>
      </c>
      <c r="E64" s="480"/>
      <c r="F64" s="470"/>
      <c r="G64" s="480"/>
      <c r="H64" s="471"/>
      <c r="I64" s="471"/>
      <c r="J64" s="238" t="s">
        <v>336</v>
      </c>
      <c r="K64" s="70" t="s">
        <v>350</v>
      </c>
      <c r="L64" s="65" t="s">
        <v>138</v>
      </c>
      <c r="M64" s="70" t="s">
        <v>340</v>
      </c>
      <c r="N64" s="268">
        <v>39472</v>
      </c>
      <c r="O64" s="68" t="s">
        <v>53</v>
      </c>
      <c r="P64" s="352">
        <v>59</v>
      </c>
      <c r="Q64" s="510">
        <v>1</v>
      </c>
      <c r="R64" s="510">
        <v>42</v>
      </c>
      <c r="S64" s="504">
        <v>302</v>
      </c>
      <c r="T64" s="503">
        <v>60</v>
      </c>
      <c r="U64" s="504">
        <v>750</v>
      </c>
      <c r="V64" s="503">
        <v>150</v>
      </c>
      <c r="W64" s="504">
        <v>750</v>
      </c>
      <c r="X64" s="503">
        <v>150</v>
      </c>
      <c r="Y64" s="486">
        <f t="shared" si="16"/>
        <v>1802</v>
      </c>
      <c r="Z64" s="487">
        <f t="shared" si="17"/>
        <v>360</v>
      </c>
      <c r="AA64" s="328">
        <f t="shared" si="26"/>
        <v>360</v>
      </c>
      <c r="AB64" s="329">
        <f t="shared" si="27"/>
        <v>5.0055555555555555</v>
      </c>
      <c r="AC64" s="330">
        <v>1201</v>
      </c>
      <c r="AD64" s="331">
        <f t="shared" si="28"/>
        <v>0.5004163197335554</v>
      </c>
      <c r="AE64" s="332">
        <f t="shared" si="18"/>
        <v>0</v>
      </c>
      <c r="AF64" s="328">
        <f t="shared" si="19"/>
        <v>0</v>
      </c>
      <c r="AG64" s="367">
        <v>1802</v>
      </c>
      <c r="AH64" s="368">
        <v>360</v>
      </c>
      <c r="AI64" s="331">
        <f t="shared" si="20"/>
        <v>1</v>
      </c>
      <c r="AJ64" s="331">
        <f t="shared" si="21"/>
        <v>0</v>
      </c>
      <c r="AK64" s="328">
        <f t="shared" si="22"/>
        <v>360</v>
      </c>
      <c r="AL64" s="329">
        <f t="shared" si="23"/>
        <v>5.0055555555555555</v>
      </c>
      <c r="AM64" s="333">
        <v>1201</v>
      </c>
      <c r="AN64" s="331">
        <f t="shared" si="24"/>
        <v>0.5004163197335554</v>
      </c>
      <c r="AO64" s="333">
        <f>395290.5+262822+75939+23709.5+4083+1327+9321+1445+1267+2173+4575+201+1748+3343+728+28+948+1329+163+182+173+15521.5+171+40+110+75+183.5+127+124.5+1976+312+180+12+2398+1799+1799+1799+3598+1201+1802</f>
        <v>824023.5</v>
      </c>
      <c r="AP64" s="334">
        <f>47426+32442+9866+4010+887+225+2185+263+226+460+1077+33+367+887+230+4+139+355+32+35+32+3859+49+8+22+15+68+46+45+659+52+30+2+399+300+300+300+600+240+360</f>
        <v>108535</v>
      </c>
      <c r="AQ64" s="337">
        <f t="shared" si="25"/>
        <v>7.592237527065002</v>
      </c>
      <c r="AR64" s="266">
        <v>40928</v>
      </c>
      <c r="AS64" s="493" t="s">
        <v>349</v>
      </c>
      <c r="AT64" s="62"/>
    </row>
    <row r="65" spans="1:46" s="10" customFormat="1" ht="15.75">
      <c r="A65" s="539" t="s">
        <v>528</v>
      </c>
      <c r="B65" s="527"/>
      <c r="C65" s="473" t="s">
        <v>261</v>
      </c>
      <c r="D65" s="482" t="s">
        <v>223</v>
      </c>
      <c r="E65" s="480"/>
      <c r="F65" s="470"/>
      <c r="G65" s="481" t="s">
        <v>292</v>
      </c>
      <c r="H65" s="475" t="s">
        <v>55</v>
      </c>
      <c r="I65" s="478"/>
      <c r="J65" s="238" t="s">
        <v>175</v>
      </c>
      <c r="K65" s="70" t="s">
        <v>187</v>
      </c>
      <c r="L65" s="70" t="s">
        <v>138</v>
      </c>
      <c r="M65" s="70" t="s">
        <v>178</v>
      </c>
      <c r="N65" s="268">
        <v>39682</v>
      </c>
      <c r="O65" s="68" t="s">
        <v>53</v>
      </c>
      <c r="P65" s="352">
        <v>60</v>
      </c>
      <c r="Q65" s="510">
        <v>1</v>
      </c>
      <c r="R65" s="510">
        <v>24</v>
      </c>
      <c r="S65" s="504">
        <v>302</v>
      </c>
      <c r="T65" s="503">
        <v>60</v>
      </c>
      <c r="U65" s="504">
        <v>750</v>
      </c>
      <c r="V65" s="503">
        <v>150</v>
      </c>
      <c r="W65" s="504">
        <v>750</v>
      </c>
      <c r="X65" s="503">
        <v>150</v>
      </c>
      <c r="Y65" s="486">
        <f t="shared" si="16"/>
        <v>1802</v>
      </c>
      <c r="Z65" s="487">
        <f t="shared" si="17"/>
        <v>360</v>
      </c>
      <c r="AA65" s="328">
        <f t="shared" si="26"/>
        <v>360</v>
      </c>
      <c r="AB65" s="329">
        <f t="shared" si="27"/>
        <v>5.0055555555555555</v>
      </c>
      <c r="AC65" s="330">
        <v>1201</v>
      </c>
      <c r="AD65" s="331">
        <f t="shared" si="28"/>
        <v>0.5004163197335554</v>
      </c>
      <c r="AE65" s="332">
        <f t="shared" si="18"/>
        <v>0</v>
      </c>
      <c r="AF65" s="328">
        <f t="shared" si="19"/>
        <v>0</v>
      </c>
      <c r="AG65" s="367">
        <v>1802</v>
      </c>
      <c r="AH65" s="368">
        <v>360</v>
      </c>
      <c r="AI65" s="331">
        <f t="shared" si="20"/>
        <v>1</v>
      </c>
      <c r="AJ65" s="331">
        <f t="shared" si="21"/>
        <v>0</v>
      </c>
      <c r="AK65" s="328">
        <f t="shared" si="22"/>
        <v>360</v>
      </c>
      <c r="AL65" s="329">
        <f t="shared" si="23"/>
        <v>5.0055555555555555</v>
      </c>
      <c r="AM65" s="333">
        <v>1201</v>
      </c>
      <c r="AN65" s="331">
        <f t="shared" si="24"/>
        <v>0.5004163197335554</v>
      </c>
      <c r="AO65" s="333">
        <f>111737+37434.5+11042+9412+0.5+6921+5282+0.5+1449+105+269+162+117+442+7259+305+4320+1922+1799+1799+135+1799+3598+1201+1802</f>
        <v>210312.5</v>
      </c>
      <c r="AP65" s="334">
        <f>13345+4357+1377+1694+1346+1248+225+18+64+40+37+108+2420+61+783+385+300+300+15+300+600+240+360</f>
        <v>29623</v>
      </c>
      <c r="AQ65" s="337">
        <f t="shared" si="25"/>
        <v>7.099635418424873</v>
      </c>
      <c r="AR65" s="266">
        <v>40928</v>
      </c>
      <c r="AS65" s="493" t="s">
        <v>349</v>
      </c>
      <c r="AT65" s="62"/>
    </row>
    <row r="66" spans="1:46" s="10" customFormat="1" ht="15.75">
      <c r="A66" s="539" t="s">
        <v>529</v>
      </c>
      <c r="B66" s="527"/>
      <c r="C66" s="473" t="s">
        <v>261</v>
      </c>
      <c r="D66" s="482" t="s">
        <v>223</v>
      </c>
      <c r="E66" s="480"/>
      <c r="F66" s="470"/>
      <c r="G66" s="483"/>
      <c r="H66" s="475" t="s">
        <v>55</v>
      </c>
      <c r="I66" s="478"/>
      <c r="J66" s="238" t="s">
        <v>266</v>
      </c>
      <c r="K66" s="70" t="s">
        <v>422</v>
      </c>
      <c r="L66" s="65" t="s">
        <v>186</v>
      </c>
      <c r="M66" s="70" t="s">
        <v>267</v>
      </c>
      <c r="N66" s="269">
        <v>39073</v>
      </c>
      <c r="O66" s="68" t="s">
        <v>53</v>
      </c>
      <c r="P66" s="352">
        <v>51</v>
      </c>
      <c r="Q66" s="353">
        <v>1</v>
      </c>
      <c r="R66" s="353">
        <v>20</v>
      </c>
      <c r="S66" s="335">
        <v>0</v>
      </c>
      <c r="T66" s="336">
        <v>0</v>
      </c>
      <c r="U66" s="335">
        <v>0</v>
      </c>
      <c r="V66" s="336">
        <v>0</v>
      </c>
      <c r="W66" s="335">
        <v>0</v>
      </c>
      <c r="X66" s="336">
        <v>0</v>
      </c>
      <c r="Y66" s="486">
        <f t="shared" si="16"/>
        <v>0</v>
      </c>
      <c r="Z66" s="487">
        <f t="shared" si="17"/>
        <v>0</v>
      </c>
      <c r="AA66" s="328">
        <f t="shared" si="26"/>
      </c>
      <c r="AB66" s="329">
        <f t="shared" si="27"/>
      </c>
      <c r="AC66" s="330">
        <v>0</v>
      </c>
      <c r="AD66" s="331">
        <f t="shared" si="28"/>
      </c>
      <c r="AE66" s="332">
        <f t="shared" si="18"/>
        <v>1802</v>
      </c>
      <c r="AF66" s="328">
        <f t="shared" si="19"/>
        <v>360</v>
      </c>
      <c r="AG66" s="367">
        <v>1802</v>
      </c>
      <c r="AH66" s="368">
        <v>360</v>
      </c>
      <c r="AI66" s="331">
        <f t="shared" si="20"/>
        <v>0</v>
      </c>
      <c r="AJ66" s="331">
        <f t="shared" si="21"/>
        <v>1</v>
      </c>
      <c r="AK66" s="328">
        <f t="shared" si="22"/>
        <v>360</v>
      </c>
      <c r="AL66" s="329">
        <f t="shared" si="23"/>
        <v>5.0055555555555555</v>
      </c>
      <c r="AM66" s="333">
        <v>1201</v>
      </c>
      <c r="AN66" s="331">
        <f t="shared" si="24"/>
        <v>0.5004163197335554</v>
      </c>
      <c r="AO66" s="333">
        <f>145565+155630+55982+15271+7453.5+9440+11300.5+7141.5+2772.5+2945+30+431+4621+226+400+118+79+0+1201+1802</f>
        <v>422409</v>
      </c>
      <c r="AP66" s="334">
        <f>17748+18932+7628+2641+1317+1724+2010+1184+553+655+5+131+1001+24+110+22+13+0+240+360</f>
        <v>56298</v>
      </c>
      <c r="AQ66" s="337">
        <f t="shared" si="25"/>
        <v>7.503090695939465</v>
      </c>
      <c r="AR66" s="266">
        <v>40928</v>
      </c>
      <c r="AS66" s="493" t="s">
        <v>349</v>
      </c>
      <c r="AT66" s="62"/>
    </row>
    <row r="67" spans="1:46" s="10" customFormat="1" ht="15.75">
      <c r="A67" s="539" t="s">
        <v>530</v>
      </c>
      <c r="B67" s="526"/>
      <c r="C67" s="473" t="s">
        <v>261</v>
      </c>
      <c r="D67" s="482" t="s">
        <v>223</v>
      </c>
      <c r="E67" s="476"/>
      <c r="F67" s="470"/>
      <c r="G67" s="481" t="s">
        <v>292</v>
      </c>
      <c r="H67" s="475" t="s">
        <v>55</v>
      </c>
      <c r="I67" s="471"/>
      <c r="J67" s="257" t="s">
        <v>49</v>
      </c>
      <c r="K67" s="66" t="s">
        <v>92</v>
      </c>
      <c r="L67" s="66" t="s">
        <v>94</v>
      </c>
      <c r="M67" s="69" t="s">
        <v>59</v>
      </c>
      <c r="N67" s="268">
        <v>40774</v>
      </c>
      <c r="O67" s="68" t="s">
        <v>12</v>
      </c>
      <c r="P67" s="325">
        <v>123</v>
      </c>
      <c r="Q67" s="326">
        <v>1</v>
      </c>
      <c r="R67" s="326">
        <v>23</v>
      </c>
      <c r="S67" s="327">
        <v>171</v>
      </c>
      <c r="T67" s="503">
        <v>27</v>
      </c>
      <c r="U67" s="504">
        <v>171</v>
      </c>
      <c r="V67" s="503">
        <v>27</v>
      </c>
      <c r="W67" s="504">
        <v>171</v>
      </c>
      <c r="X67" s="503">
        <v>27</v>
      </c>
      <c r="Y67" s="486">
        <f t="shared" si="16"/>
        <v>513</v>
      </c>
      <c r="Z67" s="487">
        <f t="shared" si="17"/>
        <v>81</v>
      </c>
      <c r="AA67" s="328">
        <f t="shared" si="26"/>
        <v>81</v>
      </c>
      <c r="AB67" s="329">
        <f t="shared" si="27"/>
        <v>6.333333333333333</v>
      </c>
      <c r="AC67" s="330">
        <v>175</v>
      </c>
      <c r="AD67" s="331">
        <f t="shared" si="28"/>
        <v>1.9314285714285715</v>
      </c>
      <c r="AE67" s="332">
        <f t="shared" si="18"/>
        <v>684</v>
      </c>
      <c r="AF67" s="328">
        <f t="shared" si="19"/>
        <v>108</v>
      </c>
      <c r="AG67" s="367">
        <v>1197</v>
      </c>
      <c r="AH67" s="368">
        <v>189</v>
      </c>
      <c r="AI67" s="331">
        <f t="shared" si="20"/>
        <v>0.42857142857142855</v>
      </c>
      <c r="AJ67" s="331">
        <f t="shared" si="21"/>
        <v>0.5714285714285714</v>
      </c>
      <c r="AK67" s="328">
        <f t="shared" si="22"/>
        <v>189</v>
      </c>
      <c r="AL67" s="329">
        <f t="shared" si="23"/>
        <v>6.333333333333333</v>
      </c>
      <c r="AM67" s="333">
        <v>564</v>
      </c>
      <c r="AN67" s="331">
        <f t="shared" si="24"/>
        <v>1.122340425531915</v>
      </c>
      <c r="AO67" s="333">
        <v>7027231</v>
      </c>
      <c r="AP67" s="334">
        <v>688631</v>
      </c>
      <c r="AQ67" s="337">
        <f t="shared" si="25"/>
        <v>10.204639349666222</v>
      </c>
      <c r="AR67" s="266">
        <v>40928</v>
      </c>
      <c r="AS67" s="494">
        <v>56</v>
      </c>
      <c r="AT67" s="62"/>
    </row>
    <row r="68" spans="1:46" s="10" customFormat="1" ht="15.75">
      <c r="A68" s="539" t="s">
        <v>531</v>
      </c>
      <c r="B68" s="526"/>
      <c r="C68" s="473" t="s">
        <v>261</v>
      </c>
      <c r="D68" s="470"/>
      <c r="E68" s="470"/>
      <c r="F68" s="470"/>
      <c r="G68" s="470"/>
      <c r="H68" s="470"/>
      <c r="I68" s="471"/>
      <c r="J68" s="257" t="s">
        <v>426</v>
      </c>
      <c r="K68" s="66" t="s">
        <v>91</v>
      </c>
      <c r="L68" s="66" t="s">
        <v>94</v>
      </c>
      <c r="M68" s="69" t="s">
        <v>430</v>
      </c>
      <c r="N68" s="268">
        <v>40723</v>
      </c>
      <c r="O68" s="68" t="s">
        <v>12</v>
      </c>
      <c r="P68" s="325">
        <v>323</v>
      </c>
      <c r="Q68" s="326">
        <v>1</v>
      </c>
      <c r="R68" s="326">
        <v>30</v>
      </c>
      <c r="S68" s="327">
        <v>171</v>
      </c>
      <c r="T68" s="503">
        <v>27</v>
      </c>
      <c r="U68" s="504">
        <v>171</v>
      </c>
      <c r="V68" s="503">
        <v>27</v>
      </c>
      <c r="W68" s="504">
        <v>171</v>
      </c>
      <c r="X68" s="503">
        <v>27</v>
      </c>
      <c r="Y68" s="486">
        <f t="shared" si="16"/>
        <v>513</v>
      </c>
      <c r="Z68" s="487">
        <f t="shared" si="17"/>
        <v>81</v>
      </c>
      <c r="AA68" s="328">
        <f t="shared" si="26"/>
        <v>81</v>
      </c>
      <c r="AB68" s="329">
        <f t="shared" si="27"/>
        <v>6.333333333333333</v>
      </c>
      <c r="AC68" s="330"/>
      <c r="AD68" s="331">
        <f t="shared" si="28"/>
      </c>
      <c r="AE68" s="332">
        <f t="shared" si="18"/>
        <v>684</v>
      </c>
      <c r="AF68" s="328">
        <f t="shared" si="19"/>
        <v>108</v>
      </c>
      <c r="AG68" s="367">
        <v>1197</v>
      </c>
      <c r="AH68" s="368">
        <v>189</v>
      </c>
      <c r="AI68" s="331">
        <f t="shared" si="20"/>
        <v>0.42857142857142855</v>
      </c>
      <c r="AJ68" s="331">
        <f t="shared" si="21"/>
        <v>0.5714285714285714</v>
      </c>
      <c r="AK68" s="328">
        <f t="shared" si="22"/>
        <v>189</v>
      </c>
      <c r="AL68" s="329">
        <f t="shared" si="23"/>
        <v>6.333333333333333</v>
      </c>
      <c r="AM68" s="333"/>
      <c r="AN68" s="331">
        <f t="shared" si="24"/>
      </c>
      <c r="AO68" s="333">
        <v>6859258</v>
      </c>
      <c r="AP68" s="334">
        <v>646540</v>
      </c>
      <c r="AQ68" s="337">
        <f t="shared" si="25"/>
        <v>10.609178086429301</v>
      </c>
      <c r="AR68" s="266">
        <v>40928</v>
      </c>
      <c r="AS68" s="494" t="s">
        <v>349</v>
      </c>
      <c r="AT68" s="62"/>
    </row>
    <row r="69" spans="1:46" s="10" customFormat="1" ht="15.75">
      <c r="A69" s="539" t="s">
        <v>307</v>
      </c>
      <c r="B69" s="526"/>
      <c r="C69" s="473" t="s">
        <v>261</v>
      </c>
      <c r="D69" s="482" t="s">
        <v>223</v>
      </c>
      <c r="E69" s="470"/>
      <c r="F69" s="470"/>
      <c r="G69" s="481" t="s">
        <v>292</v>
      </c>
      <c r="H69" s="475" t="s">
        <v>55</v>
      </c>
      <c r="I69" s="471"/>
      <c r="J69" s="240" t="s">
        <v>103</v>
      </c>
      <c r="K69" s="65" t="s">
        <v>91</v>
      </c>
      <c r="L69" s="72" t="s">
        <v>94</v>
      </c>
      <c r="M69" s="72" t="s">
        <v>103</v>
      </c>
      <c r="N69" s="268">
        <v>40704</v>
      </c>
      <c r="O69" s="68" t="s">
        <v>12</v>
      </c>
      <c r="P69" s="325">
        <v>144</v>
      </c>
      <c r="Q69" s="326">
        <v>1</v>
      </c>
      <c r="R69" s="326">
        <v>33</v>
      </c>
      <c r="S69" s="327">
        <v>171</v>
      </c>
      <c r="T69" s="503">
        <v>27</v>
      </c>
      <c r="U69" s="504">
        <v>171</v>
      </c>
      <c r="V69" s="503">
        <v>27</v>
      </c>
      <c r="W69" s="504">
        <v>171</v>
      </c>
      <c r="X69" s="503">
        <v>27</v>
      </c>
      <c r="Y69" s="486">
        <f t="shared" si="16"/>
        <v>513</v>
      </c>
      <c r="Z69" s="487">
        <f t="shared" si="17"/>
        <v>81</v>
      </c>
      <c r="AA69" s="328">
        <f t="shared" si="26"/>
        <v>81</v>
      </c>
      <c r="AB69" s="329">
        <f t="shared" si="27"/>
        <v>6.333333333333333</v>
      </c>
      <c r="AC69" s="330">
        <v>513</v>
      </c>
      <c r="AD69" s="331">
        <f t="shared" si="28"/>
        <v>0</v>
      </c>
      <c r="AE69" s="332">
        <f t="shared" si="18"/>
        <v>684</v>
      </c>
      <c r="AF69" s="328">
        <f t="shared" si="19"/>
        <v>108</v>
      </c>
      <c r="AG69" s="367">
        <v>1197</v>
      </c>
      <c r="AH69" s="368">
        <v>189</v>
      </c>
      <c r="AI69" s="331">
        <f t="shared" si="20"/>
        <v>0.42857142857142855</v>
      </c>
      <c r="AJ69" s="331">
        <f t="shared" si="21"/>
        <v>0.5714285714285714</v>
      </c>
      <c r="AK69" s="328">
        <f t="shared" si="22"/>
        <v>189</v>
      </c>
      <c r="AL69" s="329">
        <f t="shared" si="23"/>
        <v>6.333333333333333</v>
      </c>
      <c r="AM69" s="333"/>
      <c r="AN69" s="331">
        <f t="shared" si="24"/>
      </c>
      <c r="AO69" s="333">
        <v>3761997</v>
      </c>
      <c r="AP69" s="334">
        <v>344950</v>
      </c>
      <c r="AQ69" s="337">
        <f t="shared" si="25"/>
        <v>10.90591969850703</v>
      </c>
      <c r="AR69" s="266">
        <v>40928</v>
      </c>
      <c r="AS69" s="493" t="s">
        <v>349</v>
      </c>
      <c r="AT69" s="62"/>
    </row>
    <row r="70" spans="1:46" s="10" customFormat="1" ht="15.75">
      <c r="A70" s="539" t="s">
        <v>532</v>
      </c>
      <c r="B70" s="526"/>
      <c r="C70" s="473" t="s">
        <v>261</v>
      </c>
      <c r="D70" s="482" t="s">
        <v>223</v>
      </c>
      <c r="E70" s="470"/>
      <c r="F70" s="540"/>
      <c r="G70" s="481" t="s">
        <v>292</v>
      </c>
      <c r="H70" s="471"/>
      <c r="I70" s="472"/>
      <c r="J70" s="243" t="s">
        <v>544</v>
      </c>
      <c r="K70" s="67" t="s">
        <v>467</v>
      </c>
      <c r="L70" s="67" t="s">
        <v>89</v>
      </c>
      <c r="M70" s="67" t="s">
        <v>475</v>
      </c>
      <c r="N70" s="268">
        <v>40522</v>
      </c>
      <c r="O70" s="68" t="s">
        <v>68</v>
      </c>
      <c r="P70" s="325">
        <v>127</v>
      </c>
      <c r="Q70" s="326">
        <v>1</v>
      </c>
      <c r="R70" s="432">
        <v>23</v>
      </c>
      <c r="S70" s="506">
        <v>0</v>
      </c>
      <c r="T70" s="507">
        <v>0</v>
      </c>
      <c r="U70" s="506">
        <v>0</v>
      </c>
      <c r="V70" s="507">
        <v>0</v>
      </c>
      <c r="W70" s="506">
        <v>0</v>
      </c>
      <c r="X70" s="507">
        <v>0</v>
      </c>
      <c r="Y70" s="486">
        <f t="shared" si="16"/>
        <v>0</v>
      </c>
      <c r="Z70" s="487">
        <f t="shared" si="17"/>
        <v>0</v>
      </c>
      <c r="AA70" s="328"/>
      <c r="AB70" s="329"/>
      <c r="AC70" s="330"/>
      <c r="AD70" s="331"/>
      <c r="AE70" s="332">
        <f t="shared" si="18"/>
        <v>1188</v>
      </c>
      <c r="AF70" s="328">
        <f t="shared" si="19"/>
        <v>297</v>
      </c>
      <c r="AG70" s="371">
        <v>1188</v>
      </c>
      <c r="AH70" s="372">
        <v>297</v>
      </c>
      <c r="AI70" s="331">
        <f t="shared" si="20"/>
        <v>0</v>
      </c>
      <c r="AJ70" s="331">
        <f t="shared" si="21"/>
        <v>1</v>
      </c>
      <c r="AK70" s="328">
        <f t="shared" si="22"/>
        <v>297</v>
      </c>
      <c r="AL70" s="329">
        <f t="shared" si="23"/>
        <v>4</v>
      </c>
      <c r="AM70" s="343"/>
      <c r="AN70" s="331">
        <f t="shared" si="24"/>
      </c>
      <c r="AO70" s="343">
        <f>1048675+809166.5+457718.5+70165.5+7102+12164+8619.5+11777.5+6559.5+3338.5+10420.5+3303+3205+2076+1722.5+314+264+550+5455+5583.5+1818.5+950.5+1188</f>
        <v>2472137</v>
      </c>
      <c r="AP70" s="348">
        <f>92481+73795+43350+8841+1153+2869+1615+2831+1620+630+2477+726+513+481+318+38+33+104+1359+1394+447+238+297</f>
        <v>237610</v>
      </c>
      <c r="AQ70" s="337">
        <f t="shared" si="25"/>
        <v>10.40417911704053</v>
      </c>
      <c r="AR70" s="266">
        <v>40928</v>
      </c>
      <c r="AS70" s="494" t="s">
        <v>349</v>
      </c>
      <c r="AT70" s="62"/>
    </row>
    <row r="71" spans="1:46" s="10" customFormat="1" ht="15.75">
      <c r="A71" s="539" t="s">
        <v>533</v>
      </c>
      <c r="B71" s="526"/>
      <c r="C71" s="473" t="s">
        <v>261</v>
      </c>
      <c r="D71" s="482" t="s">
        <v>223</v>
      </c>
      <c r="E71" s="477">
        <v>3</v>
      </c>
      <c r="F71" s="540"/>
      <c r="G71" s="481" t="s">
        <v>292</v>
      </c>
      <c r="H71" s="475" t="s">
        <v>55</v>
      </c>
      <c r="I71" s="472"/>
      <c r="J71" s="243" t="s">
        <v>454</v>
      </c>
      <c r="K71" s="67" t="s">
        <v>468</v>
      </c>
      <c r="L71" s="67" t="s">
        <v>89</v>
      </c>
      <c r="M71" s="67" t="s">
        <v>462</v>
      </c>
      <c r="N71" s="268">
        <v>39995</v>
      </c>
      <c r="O71" s="68" t="s">
        <v>68</v>
      </c>
      <c r="P71" s="325">
        <v>209</v>
      </c>
      <c r="Q71" s="326">
        <v>1</v>
      </c>
      <c r="R71" s="432">
        <v>72</v>
      </c>
      <c r="S71" s="506">
        <v>0</v>
      </c>
      <c r="T71" s="507">
        <v>0</v>
      </c>
      <c r="U71" s="506">
        <v>0</v>
      </c>
      <c r="V71" s="507">
        <v>0</v>
      </c>
      <c r="W71" s="506">
        <v>0</v>
      </c>
      <c r="X71" s="507">
        <v>0</v>
      </c>
      <c r="Y71" s="486">
        <f t="shared" si="16"/>
        <v>0</v>
      </c>
      <c r="Z71" s="487">
        <f t="shared" si="17"/>
        <v>0</v>
      </c>
      <c r="AA71" s="328"/>
      <c r="AB71" s="329"/>
      <c r="AC71" s="330"/>
      <c r="AD71" s="331"/>
      <c r="AE71" s="332">
        <f t="shared" si="18"/>
        <v>1188</v>
      </c>
      <c r="AF71" s="328">
        <f t="shared" si="19"/>
        <v>297</v>
      </c>
      <c r="AG71" s="371">
        <v>1188</v>
      </c>
      <c r="AH71" s="372">
        <v>297</v>
      </c>
      <c r="AI71" s="331">
        <f t="shared" si="20"/>
        <v>0</v>
      </c>
      <c r="AJ71" s="331">
        <f t="shared" si="21"/>
        <v>1</v>
      </c>
      <c r="AK71" s="328">
        <f t="shared" si="22"/>
        <v>297</v>
      </c>
      <c r="AL71" s="329">
        <f t="shared" si="23"/>
        <v>4</v>
      </c>
      <c r="AM71" s="343"/>
      <c r="AN71" s="331">
        <f t="shared" si="24"/>
      </c>
      <c r="AO71" s="343">
        <f>11405777.5+385+1188+6614+2968+1417+277+2612+1424+952+1780+952+364.5+1188+1188+2852+3019.5+305+1188+286+1188</f>
        <v>11437925.5</v>
      </c>
      <c r="AP71" s="348">
        <f>1424397+63+297+1638+742+364+66+653+356+238+445+238+27+297+297+713+734+61+297+71+297</f>
        <v>1432291</v>
      </c>
      <c r="AQ71" s="337">
        <f t="shared" si="25"/>
        <v>7.985755338824303</v>
      </c>
      <c r="AR71" s="266">
        <v>40928</v>
      </c>
      <c r="AS71" s="494" t="s">
        <v>349</v>
      </c>
      <c r="AT71" s="62"/>
    </row>
    <row r="72" spans="1:46" s="10" customFormat="1" ht="15.75">
      <c r="A72" s="539" t="s">
        <v>534</v>
      </c>
      <c r="B72" s="527"/>
      <c r="C72" s="473" t="s">
        <v>261</v>
      </c>
      <c r="D72" s="480"/>
      <c r="E72" s="480"/>
      <c r="F72" s="476"/>
      <c r="G72" s="481" t="s">
        <v>292</v>
      </c>
      <c r="H72" s="472"/>
      <c r="I72" s="469"/>
      <c r="J72" s="243" t="s">
        <v>86</v>
      </c>
      <c r="K72" s="65" t="s">
        <v>90</v>
      </c>
      <c r="L72" s="70" t="s">
        <v>85</v>
      </c>
      <c r="M72" s="70" t="s">
        <v>84</v>
      </c>
      <c r="N72" s="268">
        <v>40865</v>
      </c>
      <c r="O72" s="68" t="s">
        <v>68</v>
      </c>
      <c r="P72" s="339">
        <v>269</v>
      </c>
      <c r="Q72" s="326">
        <v>6</v>
      </c>
      <c r="R72" s="326">
        <v>10</v>
      </c>
      <c r="S72" s="506">
        <v>332</v>
      </c>
      <c r="T72" s="507">
        <v>48</v>
      </c>
      <c r="U72" s="506">
        <v>389</v>
      </c>
      <c r="V72" s="507">
        <v>55</v>
      </c>
      <c r="W72" s="506">
        <v>413</v>
      </c>
      <c r="X72" s="507">
        <v>56</v>
      </c>
      <c r="Y72" s="486">
        <f t="shared" si="16"/>
        <v>1134</v>
      </c>
      <c r="Z72" s="487">
        <f t="shared" si="17"/>
        <v>159</v>
      </c>
      <c r="AA72" s="328">
        <f>IF(Y72&lt;&gt;0,Z72/Q72,"")</f>
        <v>26.5</v>
      </c>
      <c r="AB72" s="329">
        <f>IF(Y72&lt;&gt;0,Y72/Z72,"")</f>
        <v>7.132075471698113</v>
      </c>
      <c r="AC72" s="333">
        <v>2860</v>
      </c>
      <c r="AD72" s="331">
        <f>IF(AC72&lt;&gt;0,-(AC72-Y72)/AC72,"")</f>
        <v>-0.6034965034965035</v>
      </c>
      <c r="AE72" s="332">
        <f t="shared" si="18"/>
        <v>0</v>
      </c>
      <c r="AF72" s="328">
        <f t="shared" si="19"/>
        <v>0</v>
      </c>
      <c r="AG72" s="371">
        <v>1134</v>
      </c>
      <c r="AH72" s="372">
        <v>159</v>
      </c>
      <c r="AI72" s="331">
        <f t="shared" si="20"/>
        <v>1</v>
      </c>
      <c r="AJ72" s="331">
        <f t="shared" si="21"/>
        <v>0</v>
      </c>
      <c r="AK72" s="328">
        <f t="shared" si="22"/>
        <v>26.5</v>
      </c>
      <c r="AL72" s="329">
        <f t="shared" si="23"/>
        <v>7.132075471698113</v>
      </c>
      <c r="AM72" s="343">
        <v>4400</v>
      </c>
      <c r="AN72" s="331">
        <f t="shared" si="24"/>
        <v>-0.7422727272727273</v>
      </c>
      <c r="AO72" s="343">
        <f>5909490.25+3097966.75+1490952+971866.5+533653.5+131687+50452.5+9558+4400+2382</f>
        <v>12202408.5</v>
      </c>
      <c r="AP72" s="348">
        <f>649738+347416+170125+112162+66621+19435+10184+1583+654+354</f>
        <v>1378272</v>
      </c>
      <c r="AQ72" s="337">
        <f t="shared" si="25"/>
        <v>8.85341101030856</v>
      </c>
      <c r="AR72" s="266">
        <v>40928</v>
      </c>
      <c r="AS72" s="494">
        <v>29</v>
      </c>
      <c r="AT72" s="62"/>
    </row>
    <row r="73" spans="1:46" s="10" customFormat="1" ht="15.75">
      <c r="A73" s="539" t="s">
        <v>408</v>
      </c>
      <c r="B73" s="526"/>
      <c r="C73" s="473" t="s">
        <v>261</v>
      </c>
      <c r="D73" s="470"/>
      <c r="E73" s="470"/>
      <c r="F73" s="470"/>
      <c r="G73" s="470"/>
      <c r="H73" s="471"/>
      <c r="I73" s="471"/>
      <c r="J73" s="243" t="s">
        <v>271</v>
      </c>
      <c r="K73" s="65" t="s">
        <v>290</v>
      </c>
      <c r="L73" s="69" t="s">
        <v>79</v>
      </c>
      <c r="M73" s="67" t="s">
        <v>287</v>
      </c>
      <c r="N73" s="268">
        <v>40823</v>
      </c>
      <c r="O73" s="68" t="s">
        <v>68</v>
      </c>
      <c r="P73" s="325">
        <v>10</v>
      </c>
      <c r="Q73" s="326">
        <v>2</v>
      </c>
      <c r="R73" s="326">
        <v>13</v>
      </c>
      <c r="S73" s="506">
        <v>406</v>
      </c>
      <c r="T73" s="507">
        <v>62</v>
      </c>
      <c r="U73" s="506">
        <v>343</v>
      </c>
      <c r="V73" s="507">
        <v>47</v>
      </c>
      <c r="W73" s="506">
        <v>350</v>
      </c>
      <c r="X73" s="507">
        <v>49</v>
      </c>
      <c r="Y73" s="486">
        <f t="shared" si="16"/>
        <v>1099</v>
      </c>
      <c r="Z73" s="487">
        <f t="shared" si="17"/>
        <v>158</v>
      </c>
      <c r="AA73" s="328">
        <f>IF(Y73&lt;&gt;0,Z73/Q73,"")</f>
        <v>79</v>
      </c>
      <c r="AB73" s="329">
        <f>IF(Y73&lt;&gt;0,Y73/Z73,"")</f>
        <v>6.955696202531645</v>
      </c>
      <c r="AC73" s="330">
        <v>1573</v>
      </c>
      <c r="AD73" s="331">
        <f>IF(AC73&lt;&gt;0,-(AC73-Y73)/AC73,"")</f>
        <v>-0.3013350286077559</v>
      </c>
      <c r="AE73" s="332">
        <f t="shared" si="18"/>
        <v>0</v>
      </c>
      <c r="AF73" s="328">
        <f t="shared" si="19"/>
        <v>0</v>
      </c>
      <c r="AG73" s="371">
        <v>1099</v>
      </c>
      <c r="AH73" s="372">
        <v>158</v>
      </c>
      <c r="AI73" s="331">
        <f t="shared" si="20"/>
        <v>1</v>
      </c>
      <c r="AJ73" s="331">
        <f t="shared" si="21"/>
        <v>0</v>
      </c>
      <c r="AK73" s="328">
        <f t="shared" si="22"/>
        <v>79</v>
      </c>
      <c r="AL73" s="329">
        <f t="shared" si="23"/>
        <v>6.955696202531645</v>
      </c>
      <c r="AM73" s="343">
        <v>3784</v>
      </c>
      <c r="AN73" s="331">
        <f t="shared" si="24"/>
        <v>-0.7095665961945031</v>
      </c>
      <c r="AO73" s="343">
        <f>31458.5+18316.5+9973.5+2181+7429+3551+2891+512+313+372+806+3784+1705</f>
        <v>83292.5</v>
      </c>
      <c r="AP73" s="348">
        <f>2922+2132+1224+343+1097+635+770+85+39+50+137+612+248</f>
        <v>10294</v>
      </c>
      <c r="AQ73" s="337">
        <f t="shared" si="25"/>
        <v>8.09136390130173</v>
      </c>
      <c r="AR73" s="266">
        <v>40928</v>
      </c>
      <c r="AS73" s="494">
        <v>31</v>
      </c>
      <c r="AT73" s="62"/>
    </row>
    <row r="74" spans="1:46" s="10" customFormat="1" ht="15.75">
      <c r="A74" s="539" t="s">
        <v>535</v>
      </c>
      <c r="B74" s="526"/>
      <c r="C74" s="473" t="s">
        <v>261</v>
      </c>
      <c r="D74" s="470"/>
      <c r="E74" s="470"/>
      <c r="F74" s="470"/>
      <c r="G74" s="470"/>
      <c r="H74" s="471"/>
      <c r="I74" s="472"/>
      <c r="J74" s="243" t="s">
        <v>100</v>
      </c>
      <c r="K74" s="65" t="s">
        <v>102</v>
      </c>
      <c r="L74" s="69" t="s">
        <v>79</v>
      </c>
      <c r="M74" s="67" t="s">
        <v>101</v>
      </c>
      <c r="N74" s="268">
        <v>40872</v>
      </c>
      <c r="O74" s="68" t="s">
        <v>68</v>
      </c>
      <c r="P74" s="325">
        <v>20</v>
      </c>
      <c r="Q74" s="326">
        <v>3</v>
      </c>
      <c r="R74" s="326">
        <v>9</v>
      </c>
      <c r="S74" s="506">
        <v>377</v>
      </c>
      <c r="T74" s="507">
        <v>61</v>
      </c>
      <c r="U74" s="506">
        <v>298</v>
      </c>
      <c r="V74" s="507">
        <v>50</v>
      </c>
      <c r="W74" s="506">
        <v>320</v>
      </c>
      <c r="X74" s="507">
        <v>55</v>
      </c>
      <c r="Y74" s="486">
        <f t="shared" si="16"/>
        <v>995</v>
      </c>
      <c r="Z74" s="487">
        <f t="shared" si="17"/>
        <v>166</v>
      </c>
      <c r="AA74" s="328">
        <f>IF(Y74&lt;&gt;0,Z74/Q74,"")</f>
        <v>55.333333333333336</v>
      </c>
      <c r="AB74" s="329">
        <f>IF(Y74&lt;&gt;0,Y74/Z74,"")</f>
        <v>5.993975903614458</v>
      </c>
      <c r="AC74" s="330">
        <v>1468</v>
      </c>
      <c r="AD74" s="331">
        <f>IF(AC74&lt;&gt;0,-(AC74-Y74)/AC74,"")</f>
        <v>-0.32220708446866486</v>
      </c>
      <c r="AE74" s="332">
        <f t="shared" si="18"/>
        <v>0</v>
      </c>
      <c r="AF74" s="328">
        <f t="shared" si="19"/>
        <v>0</v>
      </c>
      <c r="AG74" s="371">
        <v>995</v>
      </c>
      <c r="AH74" s="372">
        <v>166</v>
      </c>
      <c r="AI74" s="331">
        <f t="shared" si="20"/>
        <v>1</v>
      </c>
      <c r="AJ74" s="331">
        <f t="shared" si="21"/>
        <v>0</v>
      </c>
      <c r="AK74" s="328">
        <f t="shared" si="22"/>
        <v>55.333333333333336</v>
      </c>
      <c r="AL74" s="329">
        <f t="shared" si="23"/>
        <v>5.993975903614458</v>
      </c>
      <c r="AM74" s="343">
        <v>2545</v>
      </c>
      <c r="AN74" s="331">
        <f t="shared" si="24"/>
        <v>-0.6090373280943026</v>
      </c>
      <c r="AO74" s="343">
        <f>176767+122916.5+61599.5+22558.5+2646.5+4568+385+2545+1731</f>
        <v>395717</v>
      </c>
      <c r="AP74" s="348">
        <f>14023+9525+5052+1961+507+655+55+406+298</f>
        <v>32482</v>
      </c>
      <c r="AQ74" s="337">
        <f t="shared" si="25"/>
        <v>12.182655008928021</v>
      </c>
      <c r="AR74" s="266">
        <v>40928</v>
      </c>
      <c r="AS74" s="494">
        <v>35</v>
      </c>
      <c r="AT74" s="62"/>
    </row>
    <row r="75" spans="1:46" s="10" customFormat="1" ht="15.75">
      <c r="A75" s="539" t="s">
        <v>536</v>
      </c>
      <c r="B75" s="526"/>
      <c r="C75" s="473" t="s">
        <v>261</v>
      </c>
      <c r="D75" s="470"/>
      <c r="E75" s="470"/>
      <c r="F75" s="540"/>
      <c r="G75" s="470"/>
      <c r="H75" s="471"/>
      <c r="I75" s="472"/>
      <c r="J75" s="243" t="s">
        <v>455</v>
      </c>
      <c r="K75" s="67" t="s">
        <v>469</v>
      </c>
      <c r="L75" s="67" t="s">
        <v>89</v>
      </c>
      <c r="M75" s="67" t="s">
        <v>463</v>
      </c>
      <c r="N75" s="268">
        <v>40753</v>
      </c>
      <c r="O75" s="68" t="s">
        <v>68</v>
      </c>
      <c r="P75" s="325">
        <v>13</v>
      </c>
      <c r="Q75" s="326">
        <v>1</v>
      </c>
      <c r="R75" s="326">
        <v>14</v>
      </c>
      <c r="S75" s="506">
        <v>0</v>
      </c>
      <c r="T75" s="507">
        <v>0</v>
      </c>
      <c r="U75" s="506">
        <v>0</v>
      </c>
      <c r="V75" s="507">
        <v>0</v>
      </c>
      <c r="W75" s="506">
        <v>0</v>
      </c>
      <c r="X75" s="507">
        <v>0</v>
      </c>
      <c r="Y75" s="486">
        <f t="shared" si="16"/>
        <v>0</v>
      </c>
      <c r="Z75" s="487">
        <f t="shared" si="17"/>
        <v>0</v>
      </c>
      <c r="AA75" s="328"/>
      <c r="AB75" s="329"/>
      <c r="AC75" s="330"/>
      <c r="AD75" s="331"/>
      <c r="AE75" s="332">
        <f aca="true" t="shared" si="29" ref="AE75:AE83">AG75-Y75</f>
        <v>810</v>
      </c>
      <c r="AF75" s="328">
        <f aca="true" t="shared" si="30" ref="AF75:AF83">AH75-Z75</f>
        <v>135</v>
      </c>
      <c r="AG75" s="371">
        <v>810</v>
      </c>
      <c r="AH75" s="372">
        <v>135</v>
      </c>
      <c r="AI75" s="331">
        <f aca="true" t="shared" si="31" ref="AI75:AI83">Z75*1/AH75</f>
        <v>0</v>
      </c>
      <c r="AJ75" s="331">
        <f aca="true" t="shared" si="32" ref="AJ75:AJ83">AF75*1/AH75</f>
        <v>1</v>
      </c>
      <c r="AK75" s="328">
        <f aca="true" t="shared" si="33" ref="AK75:AK83">AH75/Q75</f>
        <v>135</v>
      </c>
      <c r="AL75" s="329">
        <f aca="true" t="shared" si="34" ref="AL75:AL83">AG75/AH75</f>
        <v>6</v>
      </c>
      <c r="AM75" s="343"/>
      <c r="AN75" s="331">
        <f aca="true" t="shared" si="35" ref="AN75:AN83">IF(AM75&lt;&gt;0,-(AM75-AG75)/AM75,"")</f>
      </c>
      <c r="AO75" s="343">
        <f>37355+12427+7492+8213.5+4676+5757+7050+1356+2892.5+6045+5978+639+919+810</f>
        <v>101610</v>
      </c>
      <c r="AP75" s="348">
        <f>3112+1234+925+858+645+791+1079+205+381+739+757+85+126+135</f>
        <v>11072</v>
      </c>
      <c r="AQ75" s="337">
        <f aca="true" t="shared" si="36" ref="AQ75:AQ83">AO75/AP75</f>
        <v>9.177203757225433</v>
      </c>
      <c r="AR75" s="266">
        <v>40928</v>
      </c>
      <c r="AS75" s="494" t="s">
        <v>349</v>
      </c>
      <c r="AT75" s="62"/>
    </row>
    <row r="76" spans="1:46" s="10" customFormat="1" ht="15.75">
      <c r="A76" s="539" t="s">
        <v>537</v>
      </c>
      <c r="B76" s="526"/>
      <c r="C76" s="473" t="s">
        <v>261</v>
      </c>
      <c r="D76" s="470"/>
      <c r="E76" s="470"/>
      <c r="F76" s="470"/>
      <c r="G76" s="470"/>
      <c r="H76" s="470"/>
      <c r="I76" s="484"/>
      <c r="J76" s="253" t="s">
        <v>445</v>
      </c>
      <c r="K76" s="69" t="s">
        <v>447</v>
      </c>
      <c r="L76" s="65" t="s">
        <v>189</v>
      </c>
      <c r="M76" s="70" t="s">
        <v>446</v>
      </c>
      <c r="N76" s="268">
        <v>40844</v>
      </c>
      <c r="O76" s="68" t="s">
        <v>8</v>
      </c>
      <c r="P76" s="552">
        <v>29</v>
      </c>
      <c r="Q76" s="340">
        <v>1</v>
      </c>
      <c r="R76" s="340">
        <v>9</v>
      </c>
      <c r="S76" s="506">
        <v>0</v>
      </c>
      <c r="T76" s="507">
        <v>0</v>
      </c>
      <c r="U76" s="506">
        <v>0</v>
      </c>
      <c r="V76" s="507">
        <v>0</v>
      </c>
      <c r="W76" s="506">
        <v>0</v>
      </c>
      <c r="X76" s="507">
        <v>0</v>
      </c>
      <c r="Y76" s="486"/>
      <c r="Z76" s="487"/>
      <c r="AA76" s="328"/>
      <c r="AB76" s="329"/>
      <c r="AC76" s="330"/>
      <c r="AD76" s="331"/>
      <c r="AE76" s="332">
        <f t="shared" si="29"/>
        <v>680</v>
      </c>
      <c r="AF76" s="328">
        <f t="shared" si="30"/>
        <v>92</v>
      </c>
      <c r="AG76" s="555">
        <v>680</v>
      </c>
      <c r="AH76" s="556">
        <v>92</v>
      </c>
      <c r="AI76" s="331">
        <f t="shared" si="31"/>
        <v>0</v>
      </c>
      <c r="AJ76" s="331">
        <f t="shared" si="32"/>
        <v>1</v>
      </c>
      <c r="AK76" s="328">
        <f t="shared" si="33"/>
        <v>92</v>
      </c>
      <c r="AL76" s="329">
        <f t="shared" si="34"/>
        <v>7.391304347826087</v>
      </c>
      <c r="AM76" s="333"/>
      <c r="AN76" s="331">
        <f t="shared" si="35"/>
      </c>
      <c r="AO76" s="341">
        <v>343647</v>
      </c>
      <c r="AP76" s="342">
        <v>27776</v>
      </c>
      <c r="AQ76" s="337">
        <f t="shared" si="36"/>
        <v>12.372083813364055</v>
      </c>
      <c r="AR76" s="266">
        <v>40928</v>
      </c>
      <c r="AS76" s="494" t="s">
        <v>349</v>
      </c>
      <c r="AT76" s="62"/>
    </row>
    <row r="77" spans="1:45" s="10" customFormat="1" ht="15.75">
      <c r="A77" s="539" t="s">
        <v>538</v>
      </c>
      <c r="B77" s="526"/>
      <c r="C77" s="473" t="s">
        <v>261</v>
      </c>
      <c r="D77" s="470"/>
      <c r="E77" s="470"/>
      <c r="F77" s="470"/>
      <c r="G77" s="470"/>
      <c r="H77" s="471"/>
      <c r="I77" s="474" t="s">
        <v>54</v>
      </c>
      <c r="J77" s="249" t="s">
        <v>77</v>
      </c>
      <c r="K77" s="68" t="s">
        <v>188</v>
      </c>
      <c r="L77" s="68"/>
      <c r="M77" s="68" t="s">
        <v>173</v>
      </c>
      <c r="N77" s="268">
        <v>40865</v>
      </c>
      <c r="O77" s="68" t="s">
        <v>52</v>
      </c>
      <c r="P77" s="356">
        <v>64</v>
      </c>
      <c r="Q77" s="344">
        <v>2</v>
      </c>
      <c r="R77" s="344">
        <v>10</v>
      </c>
      <c r="S77" s="499">
        <v>60</v>
      </c>
      <c r="T77" s="500">
        <v>8</v>
      </c>
      <c r="U77" s="499">
        <v>118</v>
      </c>
      <c r="V77" s="500">
        <v>16</v>
      </c>
      <c r="W77" s="499">
        <v>117</v>
      </c>
      <c r="X77" s="500">
        <v>16</v>
      </c>
      <c r="Y77" s="486">
        <f aca="true" t="shared" si="37" ref="Y77:Y83">SUM(S77+U77+W77)</f>
        <v>295</v>
      </c>
      <c r="Z77" s="487">
        <f aca="true" t="shared" si="38" ref="Z77:Z83">T77+V77+X77</f>
        <v>40</v>
      </c>
      <c r="AA77" s="328">
        <f>IF(Y77&lt;&gt;0,Z77/Q77,"")</f>
        <v>20</v>
      </c>
      <c r="AB77" s="329">
        <f>IF(Y77&lt;&gt;0,Y77/Z77,"")</f>
        <v>7.375</v>
      </c>
      <c r="AC77" s="330">
        <v>74</v>
      </c>
      <c r="AD77" s="331">
        <f>IF(AC77&lt;&gt;0,-(AC77-Y77)/AC77,"")</f>
        <v>2.9864864864864864</v>
      </c>
      <c r="AE77" s="332">
        <f t="shared" si="29"/>
        <v>364</v>
      </c>
      <c r="AF77" s="328">
        <f t="shared" si="30"/>
        <v>52</v>
      </c>
      <c r="AG77" s="553">
        <v>659</v>
      </c>
      <c r="AH77" s="554">
        <v>92</v>
      </c>
      <c r="AI77" s="331">
        <f t="shared" si="31"/>
        <v>0.43478260869565216</v>
      </c>
      <c r="AJ77" s="331">
        <f t="shared" si="32"/>
        <v>0.5652173913043478</v>
      </c>
      <c r="AK77" s="328">
        <f t="shared" si="33"/>
        <v>46</v>
      </c>
      <c r="AL77" s="329">
        <f t="shared" si="34"/>
        <v>7.163043478260869</v>
      </c>
      <c r="AM77" s="333">
        <v>195</v>
      </c>
      <c r="AN77" s="331">
        <f t="shared" si="35"/>
        <v>2.3794871794871795</v>
      </c>
      <c r="AO77" s="505">
        <f>256046+137037.5+20115+5099+3542+3484.5+1302+1985+195+659</f>
        <v>429465</v>
      </c>
      <c r="AP77" s="334">
        <f>25390+13650+2140+705+587+707+246+352+31+92</f>
        <v>43900</v>
      </c>
      <c r="AQ77" s="337">
        <f t="shared" si="36"/>
        <v>9.782801822323462</v>
      </c>
      <c r="AR77" s="266">
        <v>40928</v>
      </c>
      <c r="AS77" s="494">
        <v>60</v>
      </c>
    </row>
    <row r="78" spans="1:45" s="10" customFormat="1" ht="15.75">
      <c r="A78" s="539" t="s">
        <v>539</v>
      </c>
      <c r="B78" s="526"/>
      <c r="C78" s="473" t="s">
        <v>261</v>
      </c>
      <c r="D78" s="470"/>
      <c r="E78" s="470"/>
      <c r="F78" s="470"/>
      <c r="G78" s="470"/>
      <c r="H78" s="471"/>
      <c r="I78" s="479"/>
      <c r="J78" s="249" t="s">
        <v>168</v>
      </c>
      <c r="K78" s="65" t="s">
        <v>171</v>
      </c>
      <c r="L78" s="71" t="s">
        <v>99</v>
      </c>
      <c r="M78" s="69" t="s">
        <v>172</v>
      </c>
      <c r="N78" s="268">
        <v>40830</v>
      </c>
      <c r="O78" s="68" t="s">
        <v>52</v>
      </c>
      <c r="P78" s="356">
        <v>24</v>
      </c>
      <c r="Q78" s="344">
        <v>2</v>
      </c>
      <c r="R78" s="344">
        <v>9</v>
      </c>
      <c r="S78" s="499">
        <v>112</v>
      </c>
      <c r="T78" s="500">
        <v>14</v>
      </c>
      <c r="U78" s="499">
        <v>60</v>
      </c>
      <c r="V78" s="500">
        <v>6</v>
      </c>
      <c r="W78" s="499">
        <v>167</v>
      </c>
      <c r="X78" s="500">
        <v>23</v>
      </c>
      <c r="Y78" s="486">
        <f t="shared" si="37"/>
        <v>339</v>
      </c>
      <c r="Z78" s="487">
        <f t="shared" si="38"/>
        <v>43</v>
      </c>
      <c r="AA78" s="328">
        <f>IF(Y78&lt;&gt;0,Z78/Q78,"")</f>
        <v>21.5</v>
      </c>
      <c r="AB78" s="329">
        <f>IF(Y78&lt;&gt;0,Y78/Z78,"")</f>
        <v>7.883720930232558</v>
      </c>
      <c r="AC78" s="330">
        <v>276</v>
      </c>
      <c r="AD78" s="331">
        <f>IF(AC78&lt;&gt;0,-(AC78-Y78)/AC78,"")</f>
        <v>0.22826086956521738</v>
      </c>
      <c r="AE78" s="332">
        <f t="shared" si="29"/>
        <v>186</v>
      </c>
      <c r="AF78" s="328">
        <f t="shared" si="30"/>
        <v>26</v>
      </c>
      <c r="AG78" s="553">
        <v>525</v>
      </c>
      <c r="AH78" s="554">
        <v>69</v>
      </c>
      <c r="AI78" s="331">
        <f t="shared" si="31"/>
        <v>0.6231884057971014</v>
      </c>
      <c r="AJ78" s="331">
        <f t="shared" si="32"/>
        <v>0.37681159420289856</v>
      </c>
      <c r="AK78" s="328">
        <f t="shared" si="33"/>
        <v>34.5</v>
      </c>
      <c r="AL78" s="329">
        <f t="shared" si="34"/>
        <v>7.608695652173913</v>
      </c>
      <c r="AM78" s="330">
        <v>429</v>
      </c>
      <c r="AN78" s="331">
        <f t="shared" si="35"/>
        <v>0.22377622377622378</v>
      </c>
      <c r="AO78" s="505">
        <f>39089+12457+497+1407+378+156+1775+429+525</f>
        <v>56713</v>
      </c>
      <c r="AP78" s="334">
        <f>3631+1290+71+217+63+19+204+72+69</f>
        <v>5636</v>
      </c>
      <c r="AQ78" s="337">
        <f t="shared" si="36"/>
        <v>10.062633073101491</v>
      </c>
      <c r="AR78" s="266">
        <v>40928</v>
      </c>
      <c r="AS78" s="494">
        <v>57</v>
      </c>
    </row>
    <row r="79" spans="1:45" s="10" customFormat="1" ht="15.75">
      <c r="A79" s="539" t="s">
        <v>540</v>
      </c>
      <c r="B79" s="526"/>
      <c r="C79" s="473" t="s">
        <v>261</v>
      </c>
      <c r="D79" s="470"/>
      <c r="E79" s="470"/>
      <c r="F79" s="470"/>
      <c r="G79" s="470"/>
      <c r="H79" s="471"/>
      <c r="I79" s="472"/>
      <c r="J79" s="243" t="s">
        <v>399</v>
      </c>
      <c r="K79" s="67" t="s">
        <v>405</v>
      </c>
      <c r="L79" s="67"/>
      <c r="M79" s="67" t="s">
        <v>399</v>
      </c>
      <c r="N79" s="268">
        <v>40886</v>
      </c>
      <c r="O79" s="68" t="s">
        <v>68</v>
      </c>
      <c r="P79" s="325">
        <v>9</v>
      </c>
      <c r="Q79" s="326">
        <v>1</v>
      </c>
      <c r="R79" s="326">
        <v>3</v>
      </c>
      <c r="S79" s="506">
        <v>0</v>
      </c>
      <c r="T79" s="507">
        <v>0</v>
      </c>
      <c r="U79" s="506">
        <v>0</v>
      </c>
      <c r="V79" s="507">
        <v>0</v>
      </c>
      <c r="W79" s="506">
        <v>0</v>
      </c>
      <c r="X79" s="507">
        <v>0</v>
      </c>
      <c r="Y79" s="486">
        <f t="shared" si="37"/>
        <v>0</v>
      </c>
      <c r="Z79" s="487">
        <f t="shared" si="38"/>
        <v>0</v>
      </c>
      <c r="AA79" s="328">
        <f>IF(Y79&lt;&gt;0,Z79/Q79,"")</f>
      </c>
      <c r="AB79" s="329">
        <f>IF(Y79&lt;&gt;0,Y79/Z79,"")</f>
      </c>
      <c r="AC79" s="330">
        <v>0</v>
      </c>
      <c r="AD79" s="331">
        <f>IF(AC79&lt;&gt;0,-(AC79-Y79)/AC79,"")</f>
      </c>
      <c r="AE79" s="332">
        <f t="shared" si="29"/>
        <v>522</v>
      </c>
      <c r="AF79" s="328">
        <f t="shared" si="30"/>
        <v>87</v>
      </c>
      <c r="AG79" s="371">
        <v>522</v>
      </c>
      <c r="AH79" s="372">
        <v>87</v>
      </c>
      <c r="AI79" s="331">
        <f t="shared" si="31"/>
        <v>0</v>
      </c>
      <c r="AJ79" s="331">
        <f t="shared" si="32"/>
        <v>1</v>
      </c>
      <c r="AK79" s="328">
        <f t="shared" si="33"/>
        <v>87</v>
      </c>
      <c r="AL79" s="329">
        <f t="shared" si="34"/>
        <v>6</v>
      </c>
      <c r="AM79" s="343"/>
      <c r="AN79" s="331">
        <f t="shared" si="35"/>
      </c>
      <c r="AO79" s="343">
        <f>55869.5+42730+1422+522</f>
        <v>100543.5</v>
      </c>
      <c r="AP79" s="348">
        <f>3902+3837+240+87</f>
        <v>8066</v>
      </c>
      <c r="AQ79" s="337">
        <f t="shared" si="36"/>
        <v>12.46510042152244</v>
      </c>
      <c r="AR79" s="266">
        <v>40928</v>
      </c>
      <c r="AS79" s="494">
        <v>43</v>
      </c>
    </row>
    <row r="80" spans="1:45" s="10" customFormat="1" ht="15.75">
      <c r="A80" s="539" t="s">
        <v>541</v>
      </c>
      <c r="B80" s="526"/>
      <c r="C80" s="473" t="s">
        <v>261</v>
      </c>
      <c r="D80" s="470"/>
      <c r="E80" s="470"/>
      <c r="F80" s="540"/>
      <c r="G80" s="470"/>
      <c r="H80" s="471"/>
      <c r="I80" s="472"/>
      <c r="J80" s="243" t="s">
        <v>476</v>
      </c>
      <c r="K80" s="67" t="s">
        <v>470</v>
      </c>
      <c r="L80" s="67" t="s">
        <v>89</v>
      </c>
      <c r="M80" s="67" t="s">
        <v>464</v>
      </c>
      <c r="N80" s="268">
        <v>40837</v>
      </c>
      <c r="O80" s="68" t="s">
        <v>68</v>
      </c>
      <c r="P80" s="325">
        <v>10</v>
      </c>
      <c r="Q80" s="326">
        <v>1</v>
      </c>
      <c r="R80" s="432">
        <v>6</v>
      </c>
      <c r="S80" s="506">
        <v>0</v>
      </c>
      <c r="T80" s="507">
        <v>0</v>
      </c>
      <c r="U80" s="506">
        <v>0</v>
      </c>
      <c r="V80" s="507">
        <v>0</v>
      </c>
      <c r="W80" s="506">
        <v>0</v>
      </c>
      <c r="X80" s="507">
        <v>0</v>
      </c>
      <c r="Y80" s="486">
        <f t="shared" si="37"/>
        <v>0</v>
      </c>
      <c r="Z80" s="487">
        <f t="shared" si="38"/>
        <v>0</v>
      </c>
      <c r="AA80" s="328"/>
      <c r="AB80" s="329"/>
      <c r="AC80" s="330"/>
      <c r="AD80" s="331"/>
      <c r="AE80" s="332">
        <f t="shared" si="29"/>
        <v>519</v>
      </c>
      <c r="AF80" s="328">
        <f t="shared" si="30"/>
        <v>86</v>
      </c>
      <c r="AG80" s="371">
        <v>519</v>
      </c>
      <c r="AH80" s="372">
        <v>86</v>
      </c>
      <c r="AI80" s="331">
        <f t="shared" si="31"/>
        <v>0</v>
      </c>
      <c r="AJ80" s="331">
        <f t="shared" si="32"/>
        <v>1</v>
      </c>
      <c r="AK80" s="328">
        <f t="shared" si="33"/>
        <v>86</v>
      </c>
      <c r="AL80" s="329">
        <f t="shared" si="34"/>
        <v>6.034883720930233</v>
      </c>
      <c r="AM80" s="343"/>
      <c r="AN80" s="331">
        <f t="shared" si="35"/>
      </c>
      <c r="AO80" s="343">
        <f>10225+2950+986+451+172+519</f>
        <v>15303</v>
      </c>
      <c r="AP80" s="348">
        <f>1095+291+123+65+22+86</f>
        <v>1682</v>
      </c>
      <c r="AQ80" s="337">
        <f t="shared" si="36"/>
        <v>9.098097502972651</v>
      </c>
      <c r="AR80" s="266">
        <v>40928</v>
      </c>
      <c r="AS80" s="494" t="s">
        <v>349</v>
      </c>
    </row>
    <row r="81" spans="1:45" s="10" customFormat="1" ht="15.75">
      <c r="A81" s="539" t="s">
        <v>542</v>
      </c>
      <c r="B81" s="526"/>
      <c r="C81" s="473" t="s">
        <v>261</v>
      </c>
      <c r="D81" s="470"/>
      <c r="E81" s="470"/>
      <c r="F81" s="470"/>
      <c r="G81" s="470"/>
      <c r="H81" s="471"/>
      <c r="I81" s="474" t="s">
        <v>54</v>
      </c>
      <c r="J81" s="243" t="s">
        <v>73</v>
      </c>
      <c r="K81" s="67" t="s">
        <v>87</v>
      </c>
      <c r="L81" s="67"/>
      <c r="M81" s="67" t="s">
        <v>73</v>
      </c>
      <c r="N81" s="268">
        <v>40858</v>
      </c>
      <c r="O81" s="68" t="s">
        <v>68</v>
      </c>
      <c r="P81" s="325">
        <v>32</v>
      </c>
      <c r="Q81" s="326">
        <v>2</v>
      </c>
      <c r="R81" s="326">
        <v>10</v>
      </c>
      <c r="S81" s="506">
        <v>36</v>
      </c>
      <c r="T81" s="507">
        <v>6</v>
      </c>
      <c r="U81" s="506">
        <v>92</v>
      </c>
      <c r="V81" s="507">
        <v>14</v>
      </c>
      <c r="W81" s="506">
        <v>189</v>
      </c>
      <c r="X81" s="507">
        <v>26</v>
      </c>
      <c r="Y81" s="486">
        <f t="shared" si="37"/>
        <v>317</v>
      </c>
      <c r="Z81" s="487">
        <f t="shared" si="38"/>
        <v>46</v>
      </c>
      <c r="AA81" s="328">
        <f>IF(Y81&lt;&gt;0,Z81/Q81,"")</f>
        <v>23</v>
      </c>
      <c r="AB81" s="329">
        <f>IF(Y81&lt;&gt;0,Y81/Z81,"")</f>
        <v>6.891304347826087</v>
      </c>
      <c r="AC81" s="330">
        <v>317</v>
      </c>
      <c r="AD81" s="331">
        <f>IF(AC81&lt;&gt;0,-(AC81-Y81)/AC81,"")</f>
        <v>0</v>
      </c>
      <c r="AE81" s="332">
        <f t="shared" si="29"/>
        <v>162</v>
      </c>
      <c r="AF81" s="328">
        <f t="shared" si="30"/>
        <v>36</v>
      </c>
      <c r="AG81" s="371">
        <v>479</v>
      </c>
      <c r="AH81" s="372">
        <v>82</v>
      </c>
      <c r="AI81" s="331">
        <f t="shared" si="31"/>
        <v>0.5609756097560976</v>
      </c>
      <c r="AJ81" s="331">
        <f t="shared" si="32"/>
        <v>0.43902439024390244</v>
      </c>
      <c r="AK81" s="328">
        <f t="shared" si="33"/>
        <v>41</v>
      </c>
      <c r="AL81" s="329">
        <f t="shared" si="34"/>
        <v>5.841463414634147</v>
      </c>
      <c r="AM81" s="343">
        <v>937</v>
      </c>
      <c r="AN81" s="331">
        <f t="shared" si="35"/>
        <v>-0.4887940234791889</v>
      </c>
      <c r="AO81" s="343">
        <f>119417+74006.5+30939.5+15734+17682+7740+3814.5+5519+937+732+479</f>
        <v>277000.5</v>
      </c>
      <c r="AP81" s="348">
        <f>12383+8559+4204+1986+2778+1301+707+782+165+115+82</f>
        <v>33062</v>
      </c>
      <c r="AQ81" s="337">
        <f t="shared" si="36"/>
        <v>8.378213659185771</v>
      </c>
      <c r="AR81" s="266">
        <v>40928</v>
      </c>
      <c r="AS81" s="494">
        <v>52</v>
      </c>
    </row>
    <row r="82" spans="1:45" s="10" customFormat="1" ht="15.75">
      <c r="A82" s="539" t="s">
        <v>543</v>
      </c>
      <c r="B82" s="526"/>
      <c r="C82" s="473" t="s">
        <v>261</v>
      </c>
      <c r="D82" s="470"/>
      <c r="E82" s="470"/>
      <c r="F82" s="470"/>
      <c r="G82" s="470"/>
      <c r="H82" s="471"/>
      <c r="I82" s="471"/>
      <c r="J82" s="256" t="s">
        <v>159</v>
      </c>
      <c r="K82" s="68" t="s">
        <v>164</v>
      </c>
      <c r="L82" s="68" t="s">
        <v>79</v>
      </c>
      <c r="M82" s="68" t="s">
        <v>165</v>
      </c>
      <c r="N82" s="269">
        <v>40886</v>
      </c>
      <c r="O82" s="68" t="s">
        <v>13</v>
      </c>
      <c r="P82" s="325">
        <v>3</v>
      </c>
      <c r="Q82" s="326">
        <v>1</v>
      </c>
      <c r="R82" s="326">
        <v>6</v>
      </c>
      <c r="S82" s="335">
        <v>113</v>
      </c>
      <c r="T82" s="336">
        <v>18</v>
      </c>
      <c r="U82" s="335">
        <v>80</v>
      </c>
      <c r="V82" s="336">
        <v>13</v>
      </c>
      <c r="W82" s="335">
        <v>140</v>
      </c>
      <c r="X82" s="336">
        <v>23</v>
      </c>
      <c r="Y82" s="486">
        <f t="shared" si="37"/>
        <v>333</v>
      </c>
      <c r="Z82" s="487">
        <f t="shared" si="38"/>
        <v>54</v>
      </c>
      <c r="AA82" s="328">
        <f>IF(Y82&lt;&gt;0,Z82/Q82,"")</f>
        <v>54</v>
      </c>
      <c r="AB82" s="329">
        <f>IF(Y82&lt;&gt;0,Y82/Z82,"")</f>
        <v>6.166666666666667</v>
      </c>
      <c r="AC82" s="330">
        <v>1805</v>
      </c>
      <c r="AD82" s="331">
        <f>IF(AC82&lt;&gt;0,-(AC82-Y82)/AC82,"")</f>
        <v>-0.8155124653739613</v>
      </c>
      <c r="AE82" s="332">
        <f t="shared" si="29"/>
        <v>120</v>
      </c>
      <c r="AF82" s="328">
        <f t="shared" si="30"/>
        <v>20</v>
      </c>
      <c r="AG82" s="367">
        <v>453</v>
      </c>
      <c r="AH82" s="368">
        <v>74</v>
      </c>
      <c r="AI82" s="331">
        <f t="shared" si="31"/>
        <v>0.7297297297297297</v>
      </c>
      <c r="AJ82" s="331">
        <f t="shared" si="32"/>
        <v>0.2702702702702703</v>
      </c>
      <c r="AK82" s="328">
        <f t="shared" si="33"/>
        <v>74</v>
      </c>
      <c r="AL82" s="329">
        <f t="shared" si="34"/>
        <v>6.121621621621622</v>
      </c>
      <c r="AM82" s="333">
        <v>3735</v>
      </c>
      <c r="AN82" s="331">
        <f t="shared" si="35"/>
        <v>-0.878714859437751</v>
      </c>
      <c r="AO82" s="333">
        <v>16544</v>
      </c>
      <c r="AP82" s="334">
        <v>2411</v>
      </c>
      <c r="AQ82" s="337">
        <f t="shared" si="36"/>
        <v>6.861883036084612</v>
      </c>
      <c r="AR82" s="266">
        <v>40928</v>
      </c>
      <c r="AS82" s="494">
        <v>32</v>
      </c>
    </row>
    <row r="83" spans="1:45" s="10" customFormat="1" ht="16.5" thickBot="1">
      <c r="A83" s="539" t="s">
        <v>371</v>
      </c>
      <c r="B83" s="546"/>
      <c r="C83" s="547"/>
      <c r="D83" s="561" t="s">
        <v>223</v>
      </c>
      <c r="E83" s="562">
        <v>3</v>
      </c>
      <c r="F83" s="547"/>
      <c r="G83" s="547"/>
      <c r="H83" s="563" t="s">
        <v>55</v>
      </c>
      <c r="I83" s="564"/>
      <c r="J83" s="565" t="s">
        <v>219</v>
      </c>
      <c r="K83" s="534" t="s">
        <v>183</v>
      </c>
      <c r="L83" s="73" t="s">
        <v>189</v>
      </c>
      <c r="M83" s="566" t="s">
        <v>181</v>
      </c>
      <c r="N83" s="567">
        <v>40907</v>
      </c>
      <c r="O83" s="74" t="s">
        <v>8</v>
      </c>
      <c r="P83" s="568">
        <v>73</v>
      </c>
      <c r="Q83" s="569">
        <v>32</v>
      </c>
      <c r="R83" s="569">
        <v>3</v>
      </c>
      <c r="S83" s="511">
        <v>0</v>
      </c>
      <c r="T83" s="512">
        <v>0</v>
      </c>
      <c r="U83" s="511">
        <v>0</v>
      </c>
      <c r="V83" s="512">
        <v>0</v>
      </c>
      <c r="W83" s="511">
        <v>0</v>
      </c>
      <c r="X83" s="512">
        <v>0</v>
      </c>
      <c r="Y83" s="513">
        <f t="shared" si="37"/>
        <v>0</v>
      </c>
      <c r="Z83" s="514">
        <f t="shared" si="38"/>
        <v>0</v>
      </c>
      <c r="AA83" s="361">
        <f>IF(Y83&lt;&gt;0,Z83/Q83,"")</f>
      </c>
      <c r="AB83" s="362">
        <f>IF(Y83&lt;&gt;0,Y83/Z83,"")</f>
      </c>
      <c r="AC83" s="363">
        <v>18806</v>
      </c>
      <c r="AD83" s="364">
        <f>IF(AC83&lt;&gt;0,-(AC83-Y83)/AC83,"")</f>
        <v>-1</v>
      </c>
      <c r="AE83" s="365">
        <f t="shared" si="29"/>
        <v>324</v>
      </c>
      <c r="AF83" s="361">
        <f t="shared" si="30"/>
        <v>32</v>
      </c>
      <c r="AG83" s="570">
        <v>324</v>
      </c>
      <c r="AH83" s="571">
        <v>32</v>
      </c>
      <c r="AI83" s="364">
        <f t="shared" si="31"/>
        <v>0</v>
      </c>
      <c r="AJ83" s="364">
        <f t="shared" si="32"/>
        <v>1</v>
      </c>
      <c r="AK83" s="361">
        <f t="shared" si="33"/>
        <v>1</v>
      </c>
      <c r="AL83" s="362">
        <f t="shared" si="34"/>
        <v>10.125</v>
      </c>
      <c r="AM83" s="495">
        <v>21746</v>
      </c>
      <c r="AN83" s="364">
        <f t="shared" si="35"/>
        <v>-0.9851007081762163</v>
      </c>
      <c r="AO83" s="572">
        <v>141554</v>
      </c>
      <c r="AP83" s="573">
        <v>12703</v>
      </c>
      <c r="AQ83" s="366">
        <f t="shared" si="36"/>
        <v>11.143351964102967</v>
      </c>
      <c r="AR83" s="393">
        <v>40928</v>
      </c>
      <c r="AS83" s="496">
        <v>58</v>
      </c>
    </row>
    <row r="84" spans="1:45" s="10" customFormat="1" ht="18" thickBot="1">
      <c r="A84" s="131"/>
      <c r="B84" s="214"/>
      <c r="C84" s="214"/>
      <c r="D84" s="214"/>
      <c r="E84" s="214"/>
      <c r="F84" s="214"/>
      <c r="G84" s="214"/>
      <c r="H84" s="214"/>
      <c r="I84" s="215"/>
      <c r="J84" s="216"/>
      <c r="K84" s="216"/>
      <c r="L84" s="216"/>
      <c r="M84" s="216"/>
      <c r="N84" s="217"/>
      <c r="O84" s="218"/>
      <c r="P84" s="219"/>
      <c r="Q84" s="219"/>
      <c r="R84" s="219"/>
      <c r="S84" s="220"/>
      <c r="T84" s="221"/>
      <c r="U84" s="220"/>
      <c r="V84" s="221"/>
      <c r="W84" s="220"/>
      <c r="X84" s="221"/>
      <c r="Y84" s="222"/>
      <c r="Z84" s="223"/>
      <c r="AA84" s="224"/>
      <c r="AB84" s="225">
        <f>IF(Y84&lt;&gt;0,Y84/Z84,"")</f>
      </c>
      <c r="AC84" s="222"/>
      <c r="AD84" s="226">
        <f>IF(AC84&lt;&gt;0,-(AC84-Y84)/AC84,"")</f>
      </c>
      <c r="AE84" s="225"/>
      <c r="AF84" s="224"/>
      <c r="AG84" s="227"/>
      <c r="AH84" s="228"/>
      <c r="AI84" s="229"/>
      <c r="AJ84" s="229"/>
      <c r="AK84" s="230"/>
      <c r="AL84" s="231"/>
      <c r="AM84" s="231"/>
      <c r="AN84" s="231"/>
      <c r="AO84" s="232"/>
      <c r="AP84" s="232"/>
      <c r="AQ84" s="231"/>
      <c r="AR84" s="231"/>
      <c r="AS84" s="233"/>
    </row>
    <row r="85" spans="1:45" s="99" customFormat="1" ht="12.75">
      <c r="A85" s="708" t="s">
        <v>235</v>
      </c>
      <c r="B85" s="709"/>
      <c r="C85" s="709"/>
      <c r="D85" s="709"/>
      <c r="E85" s="709"/>
      <c r="F85" s="709"/>
      <c r="G85" s="709"/>
      <c r="H85" s="709"/>
      <c r="I85" s="709"/>
      <c r="J85" s="709"/>
      <c r="K85" s="709"/>
      <c r="L85" s="709"/>
      <c r="M85" s="709"/>
      <c r="N85" s="709"/>
      <c r="O85" s="709"/>
      <c r="P85" s="709"/>
      <c r="Q85" s="709"/>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691"/>
      <c r="AR85" s="691"/>
      <c r="AS85" s="691"/>
    </row>
    <row r="86" spans="1:45" s="99" customFormat="1" ht="12.75">
      <c r="A86" s="710"/>
      <c r="B86" s="709"/>
      <c r="C86" s="709"/>
      <c r="D86" s="709"/>
      <c r="E86" s="709"/>
      <c r="F86" s="709"/>
      <c r="G86" s="709"/>
      <c r="H86" s="709"/>
      <c r="I86" s="709"/>
      <c r="J86" s="709"/>
      <c r="K86" s="709"/>
      <c r="L86" s="709"/>
      <c r="M86" s="709"/>
      <c r="N86" s="709"/>
      <c r="O86" s="709"/>
      <c r="P86" s="709"/>
      <c r="Q86" s="709"/>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691"/>
      <c r="AR86" s="691"/>
      <c r="AS86" s="691"/>
    </row>
    <row r="87" spans="1:45" s="99" customFormat="1" ht="12.75">
      <c r="A87" s="710"/>
      <c r="B87" s="709"/>
      <c r="C87" s="709"/>
      <c r="D87" s="709"/>
      <c r="E87" s="709"/>
      <c r="F87" s="709"/>
      <c r="G87" s="709"/>
      <c r="H87" s="709"/>
      <c r="I87" s="709"/>
      <c r="J87" s="709"/>
      <c r="K87" s="709"/>
      <c r="L87" s="709"/>
      <c r="M87" s="709"/>
      <c r="N87" s="709"/>
      <c r="O87" s="709"/>
      <c r="P87" s="709"/>
      <c r="Q87" s="709"/>
      <c r="R87" s="709"/>
      <c r="S87" s="709"/>
      <c r="T87" s="709"/>
      <c r="U87" s="709"/>
      <c r="V87" s="709"/>
      <c r="W87" s="709"/>
      <c r="X87" s="709"/>
      <c r="Y87" s="709"/>
      <c r="Z87" s="709"/>
      <c r="AA87" s="709"/>
      <c r="AB87" s="709"/>
      <c r="AC87" s="709"/>
      <c r="AD87" s="709"/>
      <c r="AE87" s="709"/>
      <c r="AF87" s="709"/>
      <c r="AG87" s="709"/>
      <c r="AH87" s="709"/>
      <c r="AI87" s="709"/>
      <c r="AJ87" s="709"/>
      <c r="AK87" s="709"/>
      <c r="AL87" s="709"/>
      <c r="AM87" s="709"/>
      <c r="AN87" s="709"/>
      <c r="AO87" s="709"/>
      <c r="AP87" s="709"/>
      <c r="AQ87" s="691"/>
      <c r="AR87" s="691"/>
      <c r="AS87" s="691"/>
    </row>
    <row r="88" spans="1:45" s="99" customFormat="1" ht="12.75">
      <c r="A88" s="710"/>
      <c r="B88" s="709"/>
      <c r="C88" s="709"/>
      <c r="D88" s="709"/>
      <c r="E88" s="709"/>
      <c r="F88" s="709"/>
      <c r="G88" s="709"/>
      <c r="H88" s="709"/>
      <c r="I88" s="709"/>
      <c r="J88" s="709"/>
      <c r="K88" s="709"/>
      <c r="L88" s="709"/>
      <c r="M88" s="709"/>
      <c r="N88" s="709"/>
      <c r="O88" s="709"/>
      <c r="P88" s="709"/>
      <c r="Q88" s="709"/>
      <c r="R88" s="709"/>
      <c r="S88" s="709"/>
      <c r="T88" s="709"/>
      <c r="U88" s="709"/>
      <c r="V88" s="709"/>
      <c r="W88" s="709"/>
      <c r="X88" s="709"/>
      <c r="Y88" s="709"/>
      <c r="Z88" s="709"/>
      <c r="AA88" s="709"/>
      <c r="AB88" s="709"/>
      <c r="AC88" s="709"/>
      <c r="AD88" s="709"/>
      <c r="AE88" s="709"/>
      <c r="AF88" s="709"/>
      <c r="AG88" s="709"/>
      <c r="AH88" s="709"/>
      <c r="AI88" s="709"/>
      <c r="AJ88" s="709"/>
      <c r="AK88" s="709"/>
      <c r="AL88" s="709"/>
      <c r="AM88" s="709"/>
      <c r="AN88" s="709"/>
      <c r="AO88" s="709"/>
      <c r="AP88" s="709"/>
      <c r="AQ88" s="691"/>
      <c r="AR88" s="691"/>
      <c r="AS88" s="691"/>
    </row>
    <row r="89" spans="1:45" s="99" customFormat="1" ht="12.75">
      <c r="A89" s="710"/>
      <c r="B89" s="709"/>
      <c r="C89" s="709"/>
      <c r="D89" s="709"/>
      <c r="E89" s="709"/>
      <c r="F89" s="709"/>
      <c r="G89" s="709"/>
      <c r="H89" s="709"/>
      <c r="I89" s="709"/>
      <c r="J89" s="709"/>
      <c r="K89" s="709"/>
      <c r="L89" s="709"/>
      <c r="M89" s="709"/>
      <c r="N89" s="709"/>
      <c r="O89" s="709"/>
      <c r="P89" s="709"/>
      <c r="Q89" s="709"/>
      <c r="R89" s="709"/>
      <c r="S89" s="709"/>
      <c r="T89" s="709"/>
      <c r="U89" s="709"/>
      <c r="V89" s="709"/>
      <c r="W89" s="709"/>
      <c r="X89" s="709"/>
      <c r="Y89" s="709"/>
      <c r="Z89" s="709"/>
      <c r="AA89" s="709"/>
      <c r="AB89" s="709"/>
      <c r="AC89" s="709"/>
      <c r="AD89" s="709"/>
      <c r="AE89" s="709"/>
      <c r="AF89" s="709"/>
      <c r="AG89" s="709"/>
      <c r="AH89" s="709"/>
      <c r="AI89" s="709"/>
      <c r="AJ89" s="709"/>
      <c r="AK89" s="709"/>
      <c r="AL89" s="709"/>
      <c r="AM89" s="709"/>
      <c r="AN89" s="709"/>
      <c r="AO89" s="709"/>
      <c r="AP89" s="709"/>
      <c r="AQ89" s="691"/>
      <c r="AR89" s="691"/>
      <c r="AS89" s="691"/>
    </row>
    <row r="90" spans="1:45" s="99" customFormat="1" ht="12.75">
      <c r="A90" s="710"/>
      <c r="B90" s="709"/>
      <c r="C90" s="709"/>
      <c r="D90" s="709"/>
      <c r="E90" s="709"/>
      <c r="F90" s="709"/>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709"/>
      <c r="AK90" s="709"/>
      <c r="AL90" s="709"/>
      <c r="AM90" s="709"/>
      <c r="AN90" s="709"/>
      <c r="AO90" s="709"/>
      <c r="AP90" s="709"/>
      <c r="AQ90" s="691"/>
      <c r="AR90" s="691"/>
      <c r="AS90" s="691"/>
    </row>
    <row r="91" spans="2:10" ht="18.75">
      <c r="B91" s="669" t="s">
        <v>294</v>
      </c>
      <c r="C91" s="669"/>
      <c r="D91" s="669"/>
      <c r="E91" s="669"/>
      <c r="F91" s="669"/>
      <c r="G91" s="669"/>
      <c r="H91" s="669"/>
      <c r="I91" s="670"/>
      <c r="J91" s="669"/>
    </row>
    <row r="92" spans="2:10" ht="18">
      <c r="B92" s="271" t="s">
        <v>56</v>
      </c>
      <c r="C92" s="687" t="s">
        <v>277</v>
      </c>
      <c r="D92" s="688"/>
      <c r="E92" s="688"/>
      <c r="F92" s="688"/>
      <c r="G92" s="688"/>
      <c r="H92" s="688"/>
      <c r="I92" s="688"/>
      <c r="J92" s="688"/>
    </row>
    <row r="93" spans="2:10" ht="18" customHeight="1">
      <c r="B93" s="272" t="s">
        <v>261</v>
      </c>
      <c r="C93" s="674" t="s">
        <v>262</v>
      </c>
      <c r="D93" s="674"/>
      <c r="E93" s="674"/>
      <c r="F93" s="674"/>
      <c r="G93" s="674"/>
      <c r="H93" s="674"/>
      <c r="I93" s="674"/>
      <c r="J93" s="674"/>
    </row>
    <row r="94" spans="2:10" ht="18">
      <c r="B94" s="273" t="s">
        <v>223</v>
      </c>
      <c r="C94" s="700" t="s">
        <v>276</v>
      </c>
      <c r="D94" s="701"/>
      <c r="E94" s="701"/>
      <c r="F94" s="701"/>
      <c r="G94" s="701"/>
      <c r="H94" s="701"/>
      <c r="I94" s="701"/>
      <c r="J94" s="701"/>
    </row>
    <row r="95" spans="2:10" ht="18" customHeight="1">
      <c r="B95" s="274">
        <v>3</v>
      </c>
      <c r="C95" s="699" t="s">
        <v>265</v>
      </c>
      <c r="D95" s="699"/>
      <c r="E95" s="699"/>
      <c r="F95" s="699"/>
      <c r="G95" s="699"/>
      <c r="H95" s="699"/>
      <c r="I95" s="699"/>
      <c r="J95" s="699"/>
    </row>
    <row r="96" spans="2:10" ht="18" customHeight="1">
      <c r="B96" s="241">
        <v>2</v>
      </c>
      <c r="C96" s="671" t="s">
        <v>306</v>
      </c>
      <c r="D96" s="671"/>
      <c r="E96" s="671"/>
      <c r="F96" s="671"/>
      <c r="G96" s="671"/>
      <c r="H96" s="671"/>
      <c r="I96" s="671"/>
      <c r="J96" s="671"/>
    </row>
    <row r="97" spans="2:10" ht="18" customHeight="1">
      <c r="B97" s="275" t="s">
        <v>292</v>
      </c>
      <c r="C97" s="668" t="s">
        <v>293</v>
      </c>
      <c r="D97" s="668"/>
      <c r="E97" s="668"/>
      <c r="F97" s="668"/>
      <c r="G97" s="668"/>
      <c r="H97" s="668"/>
      <c r="I97" s="668"/>
      <c r="J97" s="668"/>
    </row>
    <row r="98" spans="2:10" ht="18" customHeight="1">
      <c r="B98" s="276" t="s">
        <v>55</v>
      </c>
      <c r="C98" s="697" t="s">
        <v>263</v>
      </c>
      <c r="D98" s="697"/>
      <c r="E98" s="697"/>
      <c r="F98" s="697"/>
      <c r="G98" s="697"/>
      <c r="H98" s="697"/>
      <c r="I98" s="697"/>
      <c r="J98" s="697"/>
    </row>
    <row r="99" spans="2:10" ht="18" customHeight="1">
      <c r="B99" s="277" t="s">
        <v>54</v>
      </c>
      <c r="C99" s="698" t="s">
        <v>264</v>
      </c>
      <c r="D99" s="698"/>
      <c r="E99" s="698"/>
      <c r="F99" s="698"/>
      <c r="G99" s="698"/>
      <c r="H99" s="698"/>
      <c r="I99" s="698"/>
      <c r="J99" s="698"/>
    </row>
  </sheetData>
  <sheetProtection formatCells="0" formatColumns="0" formatRows="0" insertColumns="0" insertRows="0" insertHyperlinks="0" deleteColumns="0" deleteRows="0" sort="0" autoFilter="0" pivotTables="0"/>
  <mergeCells count="60">
    <mergeCell ref="W9:X9"/>
    <mergeCell ref="C98:J98"/>
    <mergeCell ref="C99:J99"/>
    <mergeCell ref="C95:J95"/>
    <mergeCell ref="C94:J94"/>
    <mergeCell ref="A1:R1"/>
    <mergeCell ref="A2:R2"/>
    <mergeCell ref="A3:R3"/>
    <mergeCell ref="A85:AS90"/>
    <mergeCell ref="AO6:AS6"/>
    <mergeCell ref="C92:J92"/>
    <mergeCell ref="X1:AS1"/>
    <mergeCell ref="X2:X3"/>
    <mergeCell ref="W4:W5"/>
    <mergeCell ref="AO2:AP3"/>
    <mergeCell ref="A4:N5"/>
    <mergeCell ref="V2:V5"/>
    <mergeCell ref="Y2:AD2"/>
    <mergeCell ref="Y3:AD3"/>
    <mergeCell ref="W2:W3"/>
    <mergeCell ref="X4:X5"/>
    <mergeCell ref="J6:P6"/>
    <mergeCell ref="Q6:R6"/>
    <mergeCell ref="S6:AD6"/>
    <mergeCell ref="S7:T7"/>
    <mergeCell ref="U7:V7"/>
    <mergeCell ref="W7:X7"/>
    <mergeCell ref="Y7:Z7"/>
    <mergeCell ref="AA7:AB7"/>
    <mergeCell ref="AC7:AD7"/>
    <mergeCell ref="Y5:AD5"/>
    <mergeCell ref="AG4:AK4"/>
    <mergeCell ref="AI9:AJ9"/>
    <mergeCell ref="AG7:AH7"/>
    <mergeCell ref="AK9:AL9"/>
    <mergeCell ref="AI7:AJ7"/>
    <mergeCell ref="AG6:AH6"/>
    <mergeCell ref="AI6:AJ6"/>
    <mergeCell ref="Y9:Z9"/>
    <mergeCell ref="Y4:AD4"/>
    <mergeCell ref="AQ2:AS3"/>
    <mergeCell ref="AO4:AP5"/>
    <mergeCell ref="AQ4:AS5"/>
    <mergeCell ref="AA9:AB9"/>
    <mergeCell ref="AC9:AD9"/>
    <mergeCell ref="AE7:AF7"/>
    <mergeCell ref="AE6:AF6"/>
    <mergeCell ref="AK6:AL6"/>
    <mergeCell ref="AM7:AN7"/>
    <mergeCell ref="AK7:AL7"/>
    <mergeCell ref="B10:I10"/>
    <mergeCell ref="B8:I8"/>
    <mergeCell ref="C97:J97"/>
    <mergeCell ref="B91:J91"/>
    <mergeCell ref="C96:J96"/>
    <mergeCell ref="AO7:AP7"/>
    <mergeCell ref="AM9:AN9"/>
    <mergeCell ref="C93:J93"/>
    <mergeCell ref="S9:T9"/>
    <mergeCell ref="U9:V9"/>
  </mergeCells>
  <hyperlinks>
    <hyperlink ref="A3" r:id="rId1" display="http://www.antraktsinema.com"/>
  </hyperlinks>
  <printOptions/>
  <pageMargins left="0.3" right="0.13" top="0.18" bottom="0.21" header="0.13" footer="0.16"/>
  <pageSetup orientation="landscape" paperSize="9" scale="40" r:id="rId3"/>
  <ignoredErrors>
    <ignoredError sqref="AA84 AQ84 AE84:AF84 AC84 AI84:AN84" formula="1"/>
    <ignoredError sqref="A12:A83" numberStoredAsText="1"/>
    <ignoredError sqref="AO20:AP59 AO61:AP83" unlockedFormula="1"/>
  </ignoredErrors>
  <drawing r:id="rId2"/>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11" topLeftCell="A12" activePane="bottomLeft" state="frozen"/>
      <selection pane="topLeft" activeCell="A1" sqref="A1"/>
      <selection pane="bottomLeft" activeCell="A4" sqref="A4:D5"/>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727" t="s">
        <v>47</v>
      </c>
      <c r="B1" s="728"/>
      <c r="C1" s="728"/>
      <c r="D1" s="728"/>
      <c r="E1" s="722">
        <v>20</v>
      </c>
      <c r="F1" s="722"/>
    </row>
    <row r="2" spans="1:6" s="2" customFormat="1" ht="24" customHeight="1">
      <c r="A2" s="729" t="s">
        <v>48</v>
      </c>
      <c r="B2" s="730"/>
      <c r="C2" s="730"/>
      <c r="D2" s="730"/>
      <c r="E2" s="723"/>
      <c r="F2" s="723"/>
    </row>
    <row r="3" spans="1:6" s="2" customFormat="1" ht="27" thickBot="1">
      <c r="A3" s="706" t="s">
        <v>46</v>
      </c>
      <c r="B3" s="707"/>
      <c r="C3" s="707"/>
      <c r="D3" s="707"/>
      <c r="E3" s="724"/>
      <c r="F3" s="724"/>
    </row>
    <row r="4" spans="1:6" s="2" customFormat="1" ht="32.25" customHeight="1">
      <c r="A4" s="731" t="s">
        <v>425</v>
      </c>
      <c r="B4" s="732"/>
      <c r="C4" s="732"/>
      <c r="D4" s="732"/>
      <c r="E4" s="3"/>
      <c r="F4" s="3"/>
    </row>
    <row r="5" spans="1:6" s="2" customFormat="1" ht="33" customHeight="1" thickBot="1">
      <c r="A5" s="733"/>
      <c r="B5" s="733"/>
      <c r="C5" s="733"/>
      <c r="D5" s="733"/>
      <c r="E5" s="4"/>
      <c r="F5" s="4"/>
    </row>
    <row r="6" spans="1:6" s="5" customFormat="1" ht="15.75" customHeight="1" thickBot="1">
      <c r="A6" s="38"/>
      <c r="B6" s="734" t="s">
        <v>236</v>
      </c>
      <c r="C6" s="734"/>
      <c r="D6" s="734"/>
      <c r="E6" s="734"/>
      <c r="F6" s="734"/>
    </row>
    <row r="7" spans="1:6" s="6" customFormat="1" ht="12.75" customHeight="1">
      <c r="A7" s="39"/>
      <c r="B7" s="1"/>
      <c r="C7" s="1"/>
      <c r="D7" s="1"/>
      <c r="E7" s="726" t="s">
        <v>11</v>
      </c>
      <c r="F7" s="726"/>
    </row>
    <row r="8" spans="1:6" s="6" customFormat="1" ht="13.5" thickBot="1">
      <c r="A8" s="40"/>
      <c r="B8" s="8" t="s">
        <v>9</v>
      </c>
      <c r="C8" s="61" t="s">
        <v>76</v>
      </c>
      <c r="D8" s="61" t="s">
        <v>62</v>
      </c>
      <c r="E8" s="7" t="s">
        <v>7</v>
      </c>
      <c r="F8" s="7" t="s">
        <v>6</v>
      </c>
    </row>
    <row r="9" spans="1:6" s="9" customFormat="1" ht="12.75" customHeight="1">
      <c r="A9" s="85"/>
      <c r="B9" s="101"/>
      <c r="C9" s="102"/>
      <c r="D9" s="102"/>
      <c r="E9" s="725" t="s">
        <v>43</v>
      </c>
      <c r="F9" s="725"/>
    </row>
    <row r="10" spans="1:6" s="9" customFormat="1" ht="13.5" thickBot="1">
      <c r="A10" s="95"/>
      <c r="B10" s="106" t="s">
        <v>21</v>
      </c>
      <c r="C10" s="107" t="s">
        <v>75</v>
      </c>
      <c r="D10" s="107" t="s">
        <v>63</v>
      </c>
      <c r="E10" s="108" t="s">
        <v>38</v>
      </c>
      <c r="F10" s="108" t="s">
        <v>35</v>
      </c>
    </row>
    <row r="11" spans="1:6" s="10" customFormat="1" ht="13.5" customHeight="1">
      <c r="A11" s="105">
        <v>1</v>
      </c>
      <c r="B11" s="300" t="s">
        <v>383</v>
      </c>
      <c r="C11" s="63" t="s">
        <v>217</v>
      </c>
      <c r="D11" s="301" t="s">
        <v>384</v>
      </c>
      <c r="E11" s="96">
        <v>1301811</v>
      </c>
      <c r="F11" s="109">
        <v>114359</v>
      </c>
    </row>
    <row r="12" spans="1:6" s="10" customFormat="1" ht="13.5" customHeight="1">
      <c r="A12" s="103">
        <v>2</v>
      </c>
      <c r="B12" s="256" t="s">
        <v>431</v>
      </c>
      <c r="C12" s="65" t="s">
        <v>433</v>
      </c>
      <c r="D12" s="68" t="s">
        <v>432</v>
      </c>
      <c r="E12" s="97">
        <v>1169860</v>
      </c>
      <c r="F12" s="110">
        <v>108158</v>
      </c>
    </row>
    <row r="13" spans="1:6" s="10" customFormat="1" ht="13.5" customHeight="1">
      <c r="A13" s="103">
        <v>3</v>
      </c>
      <c r="B13" s="515" t="s">
        <v>141</v>
      </c>
      <c r="C13" s="516" t="s">
        <v>142</v>
      </c>
      <c r="D13" s="517" t="s">
        <v>141</v>
      </c>
      <c r="E13" s="97">
        <v>909915</v>
      </c>
      <c r="F13" s="110">
        <v>95448</v>
      </c>
    </row>
    <row r="14" spans="1:6" s="10" customFormat="1" ht="13.5" customHeight="1">
      <c r="A14" s="103">
        <v>4</v>
      </c>
      <c r="B14" s="518" t="s">
        <v>347</v>
      </c>
      <c r="C14" s="516" t="s">
        <v>348</v>
      </c>
      <c r="D14" s="519" t="s">
        <v>347</v>
      </c>
      <c r="E14" s="97">
        <v>643529</v>
      </c>
      <c r="F14" s="110">
        <v>62642</v>
      </c>
    </row>
    <row r="15" spans="1:6" s="10" customFormat="1" ht="13.5" customHeight="1">
      <c r="A15" s="103">
        <v>5</v>
      </c>
      <c r="B15" s="256" t="s">
        <v>391</v>
      </c>
      <c r="C15" s="65" t="s">
        <v>93</v>
      </c>
      <c r="D15" s="68" t="s">
        <v>392</v>
      </c>
      <c r="E15" s="97">
        <v>383950</v>
      </c>
      <c r="F15" s="110">
        <v>31165</v>
      </c>
    </row>
    <row r="16" spans="1:6" s="10" customFormat="1" ht="13.5" customHeight="1">
      <c r="A16" s="103">
        <v>6</v>
      </c>
      <c r="B16" s="243" t="s">
        <v>222</v>
      </c>
      <c r="C16" s="65" t="s">
        <v>213</v>
      </c>
      <c r="D16" s="67" t="s">
        <v>222</v>
      </c>
      <c r="E16" s="97">
        <v>337394</v>
      </c>
      <c r="F16" s="110">
        <v>31569</v>
      </c>
    </row>
    <row r="17" spans="1:6" s="10" customFormat="1" ht="13.5" customHeight="1">
      <c r="A17" s="103">
        <v>7</v>
      </c>
      <c r="B17" s="240" t="s">
        <v>434</v>
      </c>
      <c r="C17" s="65" t="s">
        <v>91</v>
      </c>
      <c r="D17" s="72" t="s">
        <v>427</v>
      </c>
      <c r="E17" s="97">
        <v>330812</v>
      </c>
      <c r="F17" s="110">
        <v>30422</v>
      </c>
    </row>
    <row r="18" spans="1:6" s="10" customFormat="1" ht="13.5" customHeight="1">
      <c r="A18" s="103">
        <v>8</v>
      </c>
      <c r="B18" s="240" t="s">
        <v>221</v>
      </c>
      <c r="C18" s="65" t="s">
        <v>96</v>
      </c>
      <c r="D18" s="68" t="s">
        <v>146</v>
      </c>
      <c r="E18" s="97">
        <v>265885</v>
      </c>
      <c r="F18" s="110">
        <v>24745</v>
      </c>
    </row>
    <row r="19" spans="1:6" s="10" customFormat="1" ht="13.5" customHeight="1">
      <c r="A19" s="103">
        <v>9</v>
      </c>
      <c r="B19" s="520" t="s">
        <v>381</v>
      </c>
      <c r="C19" s="521" t="s">
        <v>382</v>
      </c>
      <c r="D19" s="521" t="s">
        <v>381</v>
      </c>
      <c r="E19" s="97">
        <v>203995.5</v>
      </c>
      <c r="F19" s="110">
        <v>17364</v>
      </c>
    </row>
    <row r="20" spans="1:6" s="10" customFormat="1" ht="13.5" customHeight="1">
      <c r="A20" s="103">
        <v>10</v>
      </c>
      <c r="B20" s="238" t="s">
        <v>428</v>
      </c>
      <c r="C20" s="65" t="s">
        <v>126</v>
      </c>
      <c r="D20" s="70" t="s">
        <v>429</v>
      </c>
      <c r="E20" s="97">
        <v>189710.5</v>
      </c>
      <c r="F20" s="110">
        <v>15379</v>
      </c>
    </row>
    <row r="21" spans="1:6" s="10" customFormat="1" ht="13.5" customHeight="1">
      <c r="A21" s="103">
        <v>11</v>
      </c>
      <c r="B21" s="243" t="s">
        <v>144</v>
      </c>
      <c r="C21" s="65" t="s">
        <v>126</v>
      </c>
      <c r="D21" s="67" t="s">
        <v>145</v>
      </c>
      <c r="E21" s="97">
        <v>127132</v>
      </c>
      <c r="F21" s="110">
        <v>15448</v>
      </c>
    </row>
    <row r="22" spans="1:6" s="10" customFormat="1" ht="13.5" customHeight="1">
      <c r="A22" s="103">
        <v>12</v>
      </c>
      <c r="B22" s="256" t="s">
        <v>393</v>
      </c>
      <c r="C22" s="65" t="s">
        <v>396</v>
      </c>
      <c r="D22" s="68" t="s">
        <v>395</v>
      </c>
      <c r="E22" s="97">
        <v>117235</v>
      </c>
      <c r="F22" s="110">
        <v>8019</v>
      </c>
    </row>
    <row r="23" spans="1:6" s="10" customFormat="1" ht="13.5" customHeight="1">
      <c r="A23" s="103">
        <v>13</v>
      </c>
      <c r="B23" s="515" t="s">
        <v>337</v>
      </c>
      <c r="C23" s="517" t="s">
        <v>339</v>
      </c>
      <c r="D23" s="517" t="s">
        <v>337</v>
      </c>
      <c r="E23" s="97">
        <v>84128.5</v>
      </c>
      <c r="F23" s="110">
        <v>10310</v>
      </c>
    </row>
    <row r="24" spans="1:6" s="10" customFormat="1" ht="13.5" customHeight="1">
      <c r="A24" s="103">
        <v>14</v>
      </c>
      <c r="B24" s="238" t="s">
        <v>344</v>
      </c>
      <c r="C24" s="65" t="s">
        <v>126</v>
      </c>
      <c r="D24" s="70" t="s">
        <v>351</v>
      </c>
      <c r="E24" s="97">
        <v>83936</v>
      </c>
      <c r="F24" s="110">
        <v>8018</v>
      </c>
    </row>
    <row r="25" spans="1:6" s="10" customFormat="1" ht="13.5" customHeight="1">
      <c r="A25" s="103">
        <v>15</v>
      </c>
      <c r="B25" s="238" t="s">
        <v>345</v>
      </c>
      <c r="C25" s="65" t="s">
        <v>126</v>
      </c>
      <c r="D25" s="70" t="s">
        <v>352</v>
      </c>
      <c r="E25" s="97">
        <v>61086</v>
      </c>
      <c r="F25" s="110">
        <v>6047</v>
      </c>
    </row>
    <row r="26" spans="1:6" s="10" customFormat="1" ht="13.5" customHeight="1">
      <c r="A26" s="103">
        <v>16</v>
      </c>
      <c r="B26" s="522" t="s">
        <v>151</v>
      </c>
      <c r="C26" s="516" t="s">
        <v>218</v>
      </c>
      <c r="D26" s="523" t="s">
        <v>151</v>
      </c>
      <c r="E26" s="97">
        <v>39477</v>
      </c>
      <c r="F26" s="110">
        <v>5589</v>
      </c>
    </row>
    <row r="27" spans="1:6" s="10" customFormat="1" ht="13.5" customHeight="1">
      <c r="A27" s="103">
        <v>17</v>
      </c>
      <c r="B27" s="522" t="s">
        <v>107</v>
      </c>
      <c r="C27" s="523" t="s">
        <v>123</v>
      </c>
      <c r="D27" s="523" t="s">
        <v>107</v>
      </c>
      <c r="E27" s="97">
        <v>35070</v>
      </c>
      <c r="F27" s="110">
        <v>4899</v>
      </c>
    </row>
    <row r="28" spans="1:6" s="10" customFormat="1" ht="13.5" customHeight="1">
      <c r="A28" s="103">
        <v>18</v>
      </c>
      <c r="B28" s="524" t="s">
        <v>110</v>
      </c>
      <c r="C28" s="516" t="s">
        <v>113</v>
      </c>
      <c r="D28" s="516" t="s">
        <v>110</v>
      </c>
      <c r="E28" s="97">
        <v>31516.5</v>
      </c>
      <c r="F28" s="110">
        <v>4817</v>
      </c>
    </row>
    <row r="29" spans="1:6" s="10" customFormat="1" ht="13.5" customHeight="1">
      <c r="A29" s="103">
        <v>19</v>
      </c>
      <c r="B29" s="238" t="s">
        <v>341</v>
      </c>
      <c r="C29" s="65" t="s">
        <v>342</v>
      </c>
      <c r="D29" s="70" t="s">
        <v>343</v>
      </c>
      <c r="E29" s="97">
        <v>30491</v>
      </c>
      <c r="F29" s="110">
        <v>2618</v>
      </c>
    </row>
    <row r="30" spans="1:6" s="10" customFormat="1" ht="13.5" customHeight="1" thickBot="1">
      <c r="A30" s="104">
        <v>20</v>
      </c>
      <c r="B30" s="240" t="s">
        <v>196</v>
      </c>
      <c r="C30" s="65" t="s">
        <v>212</v>
      </c>
      <c r="D30" s="72" t="s">
        <v>203</v>
      </c>
      <c r="E30" s="98">
        <v>27661</v>
      </c>
      <c r="F30" s="111">
        <v>3748</v>
      </c>
    </row>
    <row r="31" spans="1:6" ht="18">
      <c r="A31" s="713" t="s">
        <v>14</v>
      </c>
      <c r="B31" s="714"/>
      <c r="C31" s="714"/>
      <c r="D31" s="714"/>
      <c r="E31" s="714"/>
      <c r="F31" s="715"/>
    </row>
    <row r="32" spans="1:6" ht="18">
      <c r="A32" s="716"/>
      <c r="B32" s="717"/>
      <c r="C32" s="717"/>
      <c r="D32" s="717"/>
      <c r="E32" s="717"/>
      <c r="F32" s="718"/>
    </row>
    <row r="33" spans="1:6" ht="18">
      <c r="A33" s="716"/>
      <c r="B33" s="717"/>
      <c r="C33" s="717"/>
      <c r="D33" s="717"/>
      <c r="E33" s="717"/>
      <c r="F33" s="718"/>
    </row>
    <row r="34" spans="1:6" ht="18">
      <c r="A34" s="716"/>
      <c r="B34" s="717"/>
      <c r="C34" s="717"/>
      <c r="D34" s="717"/>
      <c r="E34" s="717"/>
      <c r="F34" s="718"/>
    </row>
    <row r="35" spans="1:6" ht="18">
      <c r="A35" s="716"/>
      <c r="B35" s="717"/>
      <c r="C35" s="717"/>
      <c r="D35" s="717"/>
      <c r="E35" s="717"/>
      <c r="F35" s="718"/>
    </row>
    <row r="36" spans="1:6" ht="18.75" thickBot="1">
      <c r="A36" s="719"/>
      <c r="B36" s="720"/>
      <c r="C36" s="720"/>
      <c r="D36" s="720"/>
      <c r="E36" s="720"/>
      <c r="F36" s="721"/>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D24" sqref="D24"/>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727" t="s">
        <v>305</v>
      </c>
      <c r="B1" s="728"/>
      <c r="C1" s="728"/>
      <c r="D1" s="728"/>
      <c r="E1" s="722">
        <v>20</v>
      </c>
      <c r="F1" s="722"/>
    </row>
    <row r="2" spans="1:6" s="2" customFormat="1" ht="24" customHeight="1">
      <c r="A2" s="729" t="s">
        <v>48</v>
      </c>
      <c r="B2" s="730"/>
      <c r="C2" s="730"/>
      <c r="D2" s="730"/>
      <c r="E2" s="723"/>
      <c r="F2" s="723"/>
    </row>
    <row r="3" spans="1:6" s="2" customFormat="1" ht="27" thickBot="1">
      <c r="A3" s="706" t="s">
        <v>46</v>
      </c>
      <c r="B3" s="707"/>
      <c r="C3" s="707"/>
      <c r="D3" s="707"/>
      <c r="E3" s="724"/>
      <c r="F3" s="724"/>
    </row>
    <row r="4" spans="1:6" s="2" customFormat="1" ht="32.25" customHeight="1">
      <c r="A4" s="731" t="s">
        <v>437</v>
      </c>
      <c r="B4" s="732"/>
      <c r="C4" s="732"/>
      <c r="D4" s="732"/>
      <c r="E4" s="3"/>
      <c r="F4" s="3"/>
    </row>
    <row r="5" spans="1:6" s="2" customFormat="1" ht="33" customHeight="1" thickBot="1">
      <c r="A5" s="733"/>
      <c r="B5" s="733"/>
      <c r="C5" s="733"/>
      <c r="D5" s="733"/>
      <c r="E5" s="4"/>
      <c r="F5" s="4"/>
    </row>
    <row r="6" spans="1:6" s="5" customFormat="1" ht="15.75" customHeight="1" thickBot="1">
      <c r="A6" s="38"/>
      <c r="B6" s="734" t="s">
        <v>236</v>
      </c>
      <c r="C6" s="734"/>
      <c r="D6" s="734"/>
      <c r="E6" s="734"/>
      <c r="F6" s="734"/>
    </row>
    <row r="7" spans="1:6" s="6" customFormat="1" ht="12.75" customHeight="1">
      <c r="A7" s="39"/>
      <c r="B7" s="1"/>
      <c r="C7" s="1"/>
      <c r="D7" s="1"/>
      <c r="E7" s="726" t="s">
        <v>11</v>
      </c>
      <c r="F7" s="726"/>
    </row>
    <row r="8" spans="1:6" s="6" customFormat="1" ht="13.5" thickBot="1">
      <c r="A8" s="40"/>
      <c r="B8" s="8" t="s">
        <v>9</v>
      </c>
      <c r="C8" s="61" t="s">
        <v>76</v>
      </c>
      <c r="D8" s="61" t="s">
        <v>62</v>
      </c>
      <c r="E8" s="7" t="s">
        <v>7</v>
      </c>
      <c r="F8" s="7" t="s">
        <v>6</v>
      </c>
    </row>
    <row r="9" spans="1:6" s="9" customFormat="1" ht="12.75" customHeight="1">
      <c r="A9" s="85"/>
      <c r="B9" s="101"/>
      <c r="C9" s="102"/>
      <c r="D9" s="102"/>
      <c r="E9" s="725" t="s">
        <v>43</v>
      </c>
      <c r="F9" s="725"/>
    </row>
    <row r="10" spans="1:6" s="9" customFormat="1" ht="13.5" thickBot="1">
      <c r="A10" s="95"/>
      <c r="B10" s="106" t="s">
        <v>21</v>
      </c>
      <c r="C10" s="107" t="s">
        <v>75</v>
      </c>
      <c r="D10" s="107" t="s">
        <v>63</v>
      </c>
      <c r="E10" s="108" t="s">
        <v>38</v>
      </c>
      <c r="F10" s="108" t="s">
        <v>35</v>
      </c>
    </row>
    <row r="11" spans="1:6" s="10" customFormat="1" ht="13.5" customHeight="1">
      <c r="A11" s="105">
        <v>1</v>
      </c>
      <c r="B11" s="300" t="s">
        <v>383</v>
      </c>
      <c r="C11" s="63" t="s">
        <v>217</v>
      </c>
      <c r="D11" s="301" t="s">
        <v>384</v>
      </c>
      <c r="E11" s="574">
        <v>2514766</v>
      </c>
      <c r="F11" s="575">
        <v>237346</v>
      </c>
    </row>
    <row r="12" spans="1:6" s="10" customFormat="1" ht="13.5" customHeight="1">
      <c r="A12" s="103">
        <v>2</v>
      </c>
      <c r="B12" s="256" t="s">
        <v>431</v>
      </c>
      <c r="C12" s="65" t="s">
        <v>433</v>
      </c>
      <c r="D12" s="68" t="s">
        <v>432</v>
      </c>
      <c r="E12" s="576">
        <v>2359797</v>
      </c>
      <c r="F12" s="577">
        <v>232494</v>
      </c>
    </row>
    <row r="13" spans="1:6" s="10" customFormat="1" ht="13.5" customHeight="1">
      <c r="A13" s="103">
        <v>3</v>
      </c>
      <c r="B13" s="586" t="s">
        <v>141</v>
      </c>
      <c r="C13" s="587" t="s">
        <v>142</v>
      </c>
      <c r="D13" s="588" t="s">
        <v>141</v>
      </c>
      <c r="E13" s="576">
        <v>1674165</v>
      </c>
      <c r="F13" s="577">
        <v>188583</v>
      </c>
    </row>
    <row r="14" spans="1:6" s="10" customFormat="1" ht="13.5" customHeight="1">
      <c r="A14" s="103">
        <v>4</v>
      </c>
      <c r="B14" s="589" t="s">
        <v>347</v>
      </c>
      <c r="C14" s="587" t="s">
        <v>348</v>
      </c>
      <c r="D14" s="590" t="s">
        <v>347</v>
      </c>
      <c r="E14" s="578">
        <v>1163723</v>
      </c>
      <c r="F14" s="579">
        <v>122619</v>
      </c>
    </row>
    <row r="15" spans="1:6" s="10" customFormat="1" ht="13.5" customHeight="1">
      <c r="A15" s="103">
        <v>5</v>
      </c>
      <c r="B15" s="256" t="s">
        <v>391</v>
      </c>
      <c r="C15" s="65" t="s">
        <v>93</v>
      </c>
      <c r="D15" s="68" t="s">
        <v>392</v>
      </c>
      <c r="E15" s="576">
        <v>604005</v>
      </c>
      <c r="F15" s="577">
        <v>53393</v>
      </c>
    </row>
    <row r="16" spans="1:6" s="10" customFormat="1" ht="13.5" customHeight="1">
      <c r="A16" s="103">
        <v>6</v>
      </c>
      <c r="B16" s="243" t="s">
        <v>222</v>
      </c>
      <c r="C16" s="65" t="s">
        <v>213</v>
      </c>
      <c r="D16" s="67" t="s">
        <v>222</v>
      </c>
      <c r="E16" s="578">
        <v>600850</v>
      </c>
      <c r="F16" s="579">
        <v>60840</v>
      </c>
    </row>
    <row r="17" spans="1:6" s="10" customFormat="1" ht="13.5" customHeight="1">
      <c r="A17" s="103">
        <v>7</v>
      </c>
      <c r="B17" s="240" t="s">
        <v>434</v>
      </c>
      <c r="C17" s="65" t="s">
        <v>91</v>
      </c>
      <c r="D17" s="72" t="s">
        <v>427</v>
      </c>
      <c r="E17" s="578">
        <v>548761</v>
      </c>
      <c r="F17" s="579">
        <v>55405</v>
      </c>
    </row>
    <row r="18" spans="1:6" s="10" customFormat="1" ht="13.5" customHeight="1">
      <c r="A18" s="103">
        <v>8</v>
      </c>
      <c r="B18" s="240" t="s">
        <v>221</v>
      </c>
      <c r="C18" s="65" t="s">
        <v>96</v>
      </c>
      <c r="D18" s="68" t="s">
        <v>146</v>
      </c>
      <c r="E18" s="576">
        <v>474772</v>
      </c>
      <c r="F18" s="577">
        <v>47798</v>
      </c>
    </row>
    <row r="19" spans="1:6" s="10" customFormat="1" ht="13.5" customHeight="1">
      <c r="A19" s="103">
        <v>9</v>
      </c>
      <c r="B19" s="591" t="s">
        <v>381</v>
      </c>
      <c r="C19" s="592" t="s">
        <v>382</v>
      </c>
      <c r="D19" s="592" t="s">
        <v>381</v>
      </c>
      <c r="E19" s="580">
        <v>343246.5</v>
      </c>
      <c r="F19" s="581">
        <v>31498</v>
      </c>
    </row>
    <row r="20" spans="1:6" s="10" customFormat="1" ht="13.5" customHeight="1">
      <c r="A20" s="103">
        <v>10</v>
      </c>
      <c r="B20" s="238" t="s">
        <v>428</v>
      </c>
      <c r="C20" s="65" t="s">
        <v>126</v>
      </c>
      <c r="D20" s="70" t="s">
        <v>429</v>
      </c>
      <c r="E20" s="582">
        <v>328018</v>
      </c>
      <c r="F20" s="583">
        <v>28733</v>
      </c>
    </row>
    <row r="21" spans="1:6" s="10" customFormat="1" ht="13.5" customHeight="1">
      <c r="A21" s="103">
        <v>11</v>
      </c>
      <c r="B21" s="243" t="s">
        <v>144</v>
      </c>
      <c r="C21" s="65" t="s">
        <v>126</v>
      </c>
      <c r="D21" s="67" t="s">
        <v>145</v>
      </c>
      <c r="E21" s="582">
        <v>279760.5</v>
      </c>
      <c r="F21" s="583">
        <v>35564</v>
      </c>
    </row>
    <row r="22" spans="1:6" s="10" customFormat="1" ht="13.5" customHeight="1">
      <c r="A22" s="103">
        <v>12</v>
      </c>
      <c r="B22" s="238" t="s">
        <v>344</v>
      </c>
      <c r="C22" s="65" t="s">
        <v>126</v>
      </c>
      <c r="D22" s="70" t="s">
        <v>351</v>
      </c>
      <c r="E22" s="582">
        <v>190927</v>
      </c>
      <c r="F22" s="583">
        <v>19909</v>
      </c>
    </row>
    <row r="23" spans="1:6" s="10" customFormat="1" ht="13.5" customHeight="1">
      <c r="A23" s="103">
        <v>13</v>
      </c>
      <c r="B23" s="256" t="s">
        <v>393</v>
      </c>
      <c r="C23" s="65" t="s">
        <v>396</v>
      </c>
      <c r="D23" s="68" t="s">
        <v>395</v>
      </c>
      <c r="E23" s="584">
        <v>181158</v>
      </c>
      <c r="F23" s="585">
        <v>13309</v>
      </c>
    </row>
    <row r="24" spans="1:6" s="10" customFormat="1" ht="13.5" customHeight="1">
      <c r="A24" s="103">
        <v>14</v>
      </c>
      <c r="B24" s="586" t="s">
        <v>337</v>
      </c>
      <c r="C24" s="588" t="s">
        <v>339</v>
      </c>
      <c r="D24" s="588" t="s">
        <v>337</v>
      </c>
      <c r="E24" s="578">
        <v>149589.5</v>
      </c>
      <c r="F24" s="579">
        <v>19383</v>
      </c>
    </row>
    <row r="25" spans="1:6" s="10" customFormat="1" ht="13.5" customHeight="1">
      <c r="A25" s="103">
        <v>15</v>
      </c>
      <c r="B25" s="238" t="s">
        <v>345</v>
      </c>
      <c r="C25" s="65" t="s">
        <v>126</v>
      </c>
      <c r="D25" s="70" t="s">
        <v>352</v>
      </c>
      <c r="E25" s="582">
        <v>108974</v>
      </c>
      <c r="F25" s="583">
        <v>11432</v>
      </c>
    </row>
    <row r="26" spans="1:6" s="10" customFormat="1" ht="13.5" customHeight="1">
      <c r="A26" s="103">
        <v>16</v>
      </c>
      <c r="B26" s="593" t="s">
        <v>151</v>
      </c>
      <c r="C26" s="587" t="s">
        <v>218</v>
      </c>
      <c r="D26" s="594" t="s">
        <v>151</v>
      </c>
      <c r="E26" s="582">
        <v>72029</v>
      </c>
      <c r="F26" s="583">
        <v>10776</v>
      </c>
    </row>
    <row r="27" spans="1:6" s="10" customFormat="1" ht="13.5" customHeight="1">
      <c r="A27" s="103">
        <v>17</v>
      </c>
      <c r="B27" s="593" t="s">
        <v>107</v>
      </c>
      <c r="C27" s="594" t="s">
        <v>123</v>
      </c>
      <c r="D27" s="594" t="s">
        <v>107</v>
      </c>
      <c r="E27" s="582">
        <v>68985</v>
      </c>
      <c r="F27" s="583">
        <v>10338</v>
      </c>
    </row>
    <row r="28" spans="1:6" s="10" customFormat="1" ht="13.5" customHeight="1">
      <c r="A28" s="103">
        <v>18</v>
      </c>
      <c r="B28" s="240" t="s">
        <v>196</v>
      </c>
      <c r="C28" s="65" t="s">
        <v>212</v>
      </c>
      <c r="D28" s="72" t="s">
        <v>203</v>
      </c>
      <c r="E28" s="578">
        <v>53142</v>
      </c>
      <c r="F28" s="579">
        <v>7476</v>
      </c>
    </row>
    <row r="29" spans="1:6" s="10" customFormat="1" ht="13.5" customHeight="1">
      <c r="A29" s="103">
        <v>19</v>
      </c>
      <c r="B29" s="238" t="s">
        <v>341</v>
      </c>
      <c r="C29" s="65" t="s">
        <v>342</v>
      </c>
      <c r="D29" s="70" t="s">
        <v>343</v>
      </c>
      <c r="E29" s="576">
        <v>52254</v>
      </c>
      <c r="F29" s="577">
        <v>4809</v>
      </c>
    </row>
    <row r="30" spans="1:6" s="10" customFormat="1" ht="13.5" customHeight="1" thickBot="1">
      <c r="A30" s="104">
        <v>20</v>
      </c>
      <c r="B30" s="595" t="s">
        <v>110</v>
      </c>
      <c r="C30" s="587" t="s">
        <v>113</v>
      </c>
      <c r="D30" s="587" t="s">
        <v>110</v>
      </c>
      <c r="E30" s="578">
        <v>50480.5</v>
      </c>
      <c r="F30" s="579">
        <v>7727</v>
      </c>
    </row>
    <row r="31" spans="1:6" ht="18">
      <c r="A31" s="713" t="s">
        <v>14</v>
      </c>
      <c r="B31" s="714"/>
      <c r="C31" s="714"/>
      <c r="D31" s="714"/>
      <c r="E31" s="714"/>
      <c r="F31" s="715"/>
    </row>
    <row r="32" spans="1:6" ht="18">
      <c r="A32" s="716"/>
      <c r="B32" s="717"/>
      <c r="C32" s="717"/>
      <c r="D32" s="717"/>
      <c r="E32" s="717"/>
      <c r="F32" s="718"/>
    </row>
    <row r="33" spans="1:6" ht="18">
      <c r="A33" s="716"/>
      <c r="B33" s="717"/>
      <c r="C33" s="717"/>
      <c r="D33" s="717"/>
      <c r="E33" s="717"/>
      <c r="F33" s="718"/>
    </row>
    <row r="34" spans="1:6" ht="18">
      <c r="A34" s="716"/>
      <c r="B34" s="717"/>
      <c r="C34" s="717"/>
      <c r="D34" s="717"/>
      <c r="E34" s="717"/>
      <c r="F34" s="718"/>
    </row>
    <row r="35" spans="1:6" ht="18">
      <c r="A35" s="716"/>
      <c r="B35" s="717"/>
      <c r="C35" s="717"/>
      <c r="D35" s="717"/>
      <c r="E35" s="717"/>
      <c r="F35" s="718"/>
    </row>
    <row r="36" spans="1:6" ht="18.75" thickBot="1">
      <c r="A36" s="719"/>
      <c r="B36" s="720"/>
      <c r="C36" s="720"/>
      <c r="D36" s="720"/>
      <c r="E36" s="720"/>
      <c r="F36" s="721"/>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S258"/>
  <sheetViews>
    <sheetView zoomScale="90" zoomScaleNormal="90" zoomScalePageLayoutView="0" workbookViewId="0" topLeftCell="A1">
      <selection activeCell="A3" sqref="A3:F3"/>
    </sheetView>
  </sheetViews>
  <sheetFormatPr defaultColWidth="9.140625" defaultRowHeight="12.75"/>
  <cols>
    <col min="1" max="1" width="2.00390625" style="0" bestFit="1" customWidth="1"/>
    <col min="2" max="4" width="1.8515625" style="0" bestFit="1" customWidth="1"/>
    <col min="5" max="5" width="2.00390625" style="0" bestFit="1" customWidth="1"/>
    <col min="6" max="6" width="1.7109375" style="0" bestFit="1" customWidth="1"/>
    <col min="7" max="7" width="57.140625" style="0" bestFit="1" customWidth="1"/>
    <col min="8" max="8" width="29.00390625" style="0" bestFit="1" customWidth="1"/>
    <col min="9" max="9" width="19.140625" style="0" bestFit="1" customWidth="1"/>
    <col min="10" max="10" width="45.8515625" style="0" bestFit="1" customWidth="1"/>
    <col min="11" max="11" width="7.8515625" style="0" bestFit="1" customWidth="1"/>
    <col min="12" max="12" width="21.421875" style="0" bestFit="1" customWidth="1"/>
    <col min="13" max="13" width="6.8515625" style="0" bestFit="1" customWidth="1"/>
    <col min="14" max="14" width="5.57421875" style="0" bestFit="1" customWidth="1"/>
    <col min="15" max="15" width="11.28125" style="0" bestFit="1" customWidth="1"/>
    <col min="16" max="16" width="7.421875" style="0" bestFit="1" customWidth="1"/>
    <col min="17" max="17" width="12.28125" style="0" bestFit="1" customWidth="1"/>
    <col min="18" max="18" width="8.8515625" style="0" bestFit="1" customWidth="1"/>
    <col min="19" max="19" width="8.421875" style="0" bestFit="1" customWidth="1"/>
  </cols>
  <sheetData>
    <row r="1" spans="1:19" ht="13.5">
      <c r="A1" s="735" t="s">
        <v>438</v>
      </c>
      <c r="B1" s="736"/>
      <c r="C1" s="736"/>
      <c r="D1" s="736"/>
      <c r="E1" s="736"/>
      <c r="F1" s="736"/>
      <c r="G1" s="736"/>
      <c r="H1" s="736"/>
      <c r="I1" s="736"/>
      <c r="J1" s="736"/>
      <c r="K1" s="736"/>
      <c r="L1" s="736"/>
      <c r="M1" s="736"/>
      <c r="N1" s="736"/>
      <c r="O1" s="736"/>
      <c r="P1" s="736"/>
      <c r="Q1" s="736"/>
      <c r="R1" s="736"/>
      <c r="S1" s="737"/>
    </row>
    <row r="2" spans="1:19" ht="12.75">
      <c r="A2" s="398"/>
      <c r="B2" s="398"/>
      <c r="C2" s="398"/>
      <c r="D2" s="398"/>
      <c r="E2" s="398"/>
      <c r="F2" s="398"/>
      <c r="G2" s="398"/>
      <c r="H2" s="398"/>
      <c r="I2" s="398"/>
      <c r="J2" s="398"/>
      <c r="K2" s="398" t="s">
        <v>409</v>
      </c>
      <c r="L2" s="398"/>
      <c r="M2" s="398" t="s">
        <v>410</v>
      </c>
      <c r="N2" s="399"/>
      <c r="O2" s="400" t="s">
        <v>423</v>
      </c>
      <c r="P2" s="400" t="s">
        <v>423</v>
      </c>
      <c r="Q2" s="398" t="s">
        <v>314</v>
      </c>
      <c r="R2" s="398" t="s">
        <v>314</v>
      </c>
      <c r="S2" s="398" t="s">
        <v>411</v>
      </c>
    </row>
    <row r="3" spans="1:19" ht="13.5" thickBot="1">
      <c r="A3" s="738" t="s">
        <v>412</v>
      </c>
      <c r="B3" s="739"/>
      <c r="C3" s="739"/>
      <c r="D3" s="739"/>
      <c r="E3" s="739"/>
      <c r="F3" s="740"/>
      <c r="G3" s="401" t="s">
        <v>413</v>
      </c>
      <c r="H3" s="401" t="s">
        <v>414</v>
      </c>
      <c r="I3" s="401" t="s">
        <v>415</v>
      </c>
      <c r="J3" s="401" t="s">
        <v>416</v>
      </c>
      <c r="K3" s="401" t="s">
        <v>417</v>
      </c>
      <c r="L3" s="401" t="s">
        <v>418</v>
      </c>
      <c r="M3" s="401" t="s">
        <v>419</v>
      </c>
      <c r="N3" s="402" t="s">
        <v>310</v>
      </c>
      <c r="O3" s="403" t="s">
        <v>315</v>
      </c>
      <c r="P3" s="403" t="s">
        <v>316</v>
      </c>
      <c r="Q3" s="401" t="s">
        <v>315</v>
      </c>
      <c r="R3" s="401" t="s">
        <v>316</v>
      </c>
      <c r="S3" s="401" t="s">
        <v>421</v>
      </c>
    </row>
    <row r="4" spans="1:19" ht="10.5" customHeight="1">
      <c r="A4" s="404"/>
      <c r="B4" s="404"/>
      <c r="C4" s="404"/>
      <c r="D4" s="404"/>
      <c r="E4" s="405"/>
      <c r="F4" s="405"/>
      <c r="G4" s="641" t="s">
        <v>100</v>
      </c>
      <c r="H4" s="302" t="s">
        <v>102</v>
      </c>
      <c r="I4" s="407" t="s">
        <v>79</v>
      </c>
      <c r="J4" s="408" t="s">
        <v>101</v>
      </c>
      <c r="K4" s="270">
        <v>40872</v>
      </c>
      <c r="L4" s="267" t="s">
        <v>68</v>
      </c>
      <c r="M4" s="409">
        <v>20</v>
      </c>
      <c r="N4" s="410">
        <v>6</v>
      </c>
      <c r="O4" s="642">
        <v>4568</v>
      </c>
      <c r="P4" s="643">
        <v>655</v>
      </c>
      <c r="Q4" s="413">
        <f>176767+122916.5+61599.5+22558.5+2646.5+4568</f>
        <v>391056</v>
      </c>
      <c r="R4" s="414">
        <f>14023+9525+5052+1961+507+655</f>
        <v>31723</v>
      </c>
      <c r="S4" s="415">
        <v>40907</v>
      </c>
    </row>
    <row r="5" spans="1:19" ht="10.5" customHeight="1">
      <c r="A5" s="235"/>
      <c r="B5" s="235"/>
      <c r="C5" s="235"/>
      <c r="D5" s="235"/>
      <c r="E5" s="239"/>
      <c r="F5" s="247"/>
      <c r="G5" s="604" t="s">
        <v>100</v>
      </c>
      <c r="H5" s="65" t="s">
        <v>102</v>
      </c>
      <c r="I5" s="69" t="s">
        <v>79</v>
      </c>
      <c r="J5" s="67" t="s">
        <v>101</v>
      </c>
      <c r="K5" s="268">
        <v>40872</v>
      </c>
      <c r="L5" s="68" t="s">
        <v>68</v>
      </c>
      <c r="M5" s="325">
        <v>20</v>
      </c>
      <c r="N5" s="326">
        <v>8</v>
      </c>
      <c r="O5" s="388">
        <v>2545</v>
      </c>
      <c r="P5" s="605">
        <v>406</v>
      </c>
      <c r="Q5" s="343">
        <f>176767+122916.5+61599.5+22558.5+2646.5+4568+385+2545</f>
        <v>393986</v>
      </c>
      <c r="R5" s="348">
        <f>14023+9525+5052+1961+507+655+55+406</f>
        <v>32184</v>
      </c>
      <c r="S5" s="266">
        <v>40921</v>
      </c>
    </row>
    <row r="6" spans="1:19" ht="10.5" customHeight="1">
      <c r="A6" s="470"/>
      <c r="B6" s="470"/>
      <c r="C6" s="470"/>
      <c r="D6" s="470"/>
      <c r="E6" s="471"/>
      <c r="F6" s="472"/>
      <c r="G6" s="604" t="s">
        <v>100</v>
      </c>
      <c r="H6" s="65" t="s">
        <v>102</v>
      </c>
      <c r="I6" s="69" t="s">
        <v>79</v>
      </c>
      <c r="J6" s="67" t="s">
        <v>101</v>
      </c>
      <c r="K6" s="268">
        <v>40872</v>
      </c>
      <c r="L6" s="68" t="s">
        <v>68</v>
      </c>
      <c r="M6" s="325">
        <v>20</v>
      </c>
      <c r="N6" s="326">
        <v>9</v>
      </c>
      <c r="O6" s="388">
        <v>995</v>
      </c>
      <c r="P6" s="605">
        <v>166</v>
      </c>
      <c r="Q6" s="343">
        <f>176767+122916.5+61599.5+22558.5+2646.5+4568+385+2545+1731</f>
        <v>395717</v>
      </c>
      <c r="R6" s="348">
        <f>14023+9525+5052+1961+507+655+55+406+298</f>
        <v>32482</v>
      </c>
      <c r="S6" s="266">
        <v>40928</v>
      </c>
    </row>
    <row r="7" spans="1:19" ht="10.5" customHeight="1">
      <c r="A7" s="235"/>
      <c r="B7" s="235"/>
      <c r="C7" s="235"/>
      <c r="D7" s="235"/>
      <c r="E7" s="239"/>
      <c r="F7" s="247"/>
      <c r="G7" s="604" t="s">
        <v>100</v>
      </c>
      <c r="H7" s="65" t="s">
        <v>102</v>
      </c>
      <c r="I7" s="69" t="s">
        <v>79</v>
      </c>
      <c r="J7" s="67" t="s">
        <v>101</v>
      </c>
      <c r="K7" s="268">
        <v>40872</v>
      </c>
      <c r="L7" s="68" t="s">
        <v>68</v>
      </c>
      <c r="M7" s="309">
        <v>20</v>
      </c>
      <c r="N7" s="416">
        <v>7</v>
      </c>
      <c r="O7" s="606">
        <v>385</v>
      </c>
      <c r="P7" s="607">
        <v>55</v>
      </c>
      <c r="Q7" s="419">
        <f>176767+122916.5+61599.5+22558.5+2646.5+4568+385</f>
        <v>391441</v>
      </c>
      <c r="R7" s="420">
        <f>14023+9525+5052+1961+507+655+55</f>
        <v>31778</v>
      </c>
      <c r="S7" s="266">
        <v>40914</v>
      </c>
    </row>
    <row r="8" spans="1:19" ht="10.5" customHeight="1">
      <c r="A8" s="248"/>
      <c r="B8" s="248"/>
      <c r="C8" s="248"/>
      <c r="D8" s="248"/>
      <c r="E8" s="247"/>
      <c r="F8" s="234"/>
      <c r="G8" s="608" t="s">
        <v>196</v>
      </c>
      <c r="H8" s="65" t="s">
        <v>212</v>
      </c>
      <c r="I8" s="72" t="s">
        <v>124</v>
      </c>
      <c r="J8" s="72" t="s">
        <v>203</v>
      </c>
      <c r="K8" s="268">
        <v>40907</v>
      </c>
      <c r="L8" s="68" t="s">
        <v>12</v>
      </c>
      <c r="M8" s="325">
        <v>60</v>
      </c>
      <c r="N8" s="326">
        <v>1</v>
      </c>
      <c r="O8" s="387">
        <v>302499</v>
      </c>
      <c r="P8" s="609">
        <v>29010</v>
      </c>
      <c r="Q8" s="357">
        <v>302499</v>
      </c>
      <c r="R8" s="336">
        <v>29010</v>
      </c>
      <c r="S8" s="421">
        <v>40907</v>
      </c>
    </row>
    <row r="9" spans="1:19" ht="10.5" customHeight="1">
      <c r="A9" s="235"/>
      <c r="B9" s="235"/>
      <c r="C9" s="235"/>
      <c r="D9" s="235"/>
      <c r="E9" s="239"/>
      <c r="F9" s="239"/>
      <c r="G9" s="608" t="s">
        <v>196</v>
      </c>
      <c r="H9" s="65" t="s">
        <v>212</v>
      </c>
      <c r="I9" s="72" t="s">
        <v>124</v>
      </c>
      <c r="J9" s="72" t="s">
        <v>203</v>
      </c>
      <c r="K9" s="268">
        <v>40907</v>
      </c>
      <c r="L9" s="68" t="s">
        <v>12</v>
      </c>
      <c r="M9" s="309">
        <v>60</v>
      </c>
      <c r="N9" s="263">
        <v>2</v>
      </c>
      <c r="O9" s="610">
        <v>246978</v>
      </c>
      <c r="P9" s="611">
        <v>22817</v>
      </c>
      <c r="Q9" s="424">
        <v>549477</v>
      </c>
      <c r="R9" s="425">
        <v>51827</v>
      </c>
      <c r="S9" s="266">
        <v>40914</v>
      </c>
    </row>
    <row r="10" spans="1:19" ht="10.5" customHeight="1">
      <c r="A10" s="235"/>
      <c r="B10" s="235"/>
      <c r="C10" s="235"/>
      <c r="D10" s="235"/>
      <c r="E10" s="239"/>
      <c r="F10" s="239"/>
      <c r="G10" s="608" t="s">
        <v>196</v>
      </c>
      <c r="H10" s="65" t="s">
        <v>212</v>
      </c>
      <c r="I10" s="72" t="s">
        <v>124</v>
      </c>
      <c r="J10" s="72" t="s">
        <v>203</v>
      </c>
      <c r="K10" s="268">
        <v>40907</v>
      </c>
      <c r="L10" s="68" t="s">
        <v>12</v>
      </c>
      <c r="M10" s="325">
        <v>60</v>
      </c>
      <c r="N10" s="326">
        <v>3</v>
      </c>
      <c r="O10" s="392">
        <v>58983</v>
      </c>
      <c r="P10" s="612">
        <v>6637</v>
      </c>
      <c r="Q10" s="357">
        <v>608460</v>
      </c>
      <c r="R10" s="336">
        <v>58464</v>
      </c>
      <c r="S10" s="266">
        <v>40921</v>
      </c>
    </row>
    <row r="11" spans="1:19" ht="10.5" customHeight="1">
      <c r="A11" s="259"/>
      <c r="B11" s="259"/>
      <c r="C11" s="248"/>
      <c r="D11" s="259"/>
      <c r="E11" s="246" t="s">
        <v>55</v>
      </c>
      <c r="F11" s="237" t="s">
        <v>54</v>
      </c>
      <c r="G11" s="613" t="s">
        <v>74</v>
      </c>
      <c r="H11" s="71" t="s">
        <v>80</v>
      </c>
      <c r="I11" s="71"/>
      <c r="J11" s="71" t="s">
        <v>74</v>
      </c>
      <c r="K11" s="268">
        <v>40851</v>
      </c>
      <c r="L11" s="68" t="s">
        <v>53</v>
      </c>
      <c r="M11" s="339">
        <v>247</v>
      </c>
      <c r="N11" s="353">
        <v>9</v>
      </c>
      <c r="O11" s="389">
        <v>184428</v>
      </c>
      <c r="P11" s="614">
        <v>33224</v>
      </c>
      <c r="Q11" s="354">
        <f>2260223+2366876.75+3859638+3137342+1906742.5+252.25+1189485.5+474275+250512+184428</f>
        <v>15629775</v>
      </c>
      <c r="R11" s="355">
        <f>286038+329194+554088+452220+278080+42+178270+68355+40409+33224</f>
        <v>2219920</v>
      </c>
      <c r="S11" s="421">
        <v>40907</v>
      </c>
    </row>
    <row r="12" spans="1:19" ht="10.5" customHeight="1">
      <c r="A12" s="250"/>
      <c r="B12" s="250"/>
      <c r="C12" s="235"/>
      <c r="D12" s="250"/>
      <c r="E12" s="246" t="s">
        <v>55</v>
      </c>
      <c r="F12" s="237" t="s">
        <v>54</v>
      </c>
      <c r="G12" s="613" t="s">
        <v>74</v>
      </c>
      <c r="H12" s="71" t="s">
        <v>80</v>
      </c>
      <c r="I12" s="71"/>
      <c r="J12" s="71" t="s">
        <v>74</v>
      </c>
      <c r="K12" s="268">
        <v>40851</v>
      </c>
      <c r="L12" s="68" t="s">
        <v>53</v>
      </c>
      <c r="M12" s="313">
        <v>247</v>
      </c>
      <c r="N12" s="429">
        <v>10</v>
      </c>
      <c r="O12" s="615">
        <v>13126</v>
      </c>
      <c r="P12" s="611">
        <v>1975</v>
      </c>
      <c r="Q12" s="431">
        <f>2260223+2366876.75+3859638+3137342+1906742.5+252.25+1189485.5+474275+250512+184428+13126</f>
        <v>15642901</v>
      </c>
      <c r="R12" s="425">
        <f>286038+329194+554088+452220+278080+42+178270+68355+40409+33224+1975</f>
        <v>2221895</v>
      </c>
      <c r="S12" s="266">
        <v>40914</v>
      </c>
    </row>
    <row r="13" spans="1:19" ht="10.5" customHeight="1">
      <c r="A13" s="480"/>
      <c r="B13" s="480"/>
      <c r="C13" s="470"/>
      <c r="D13" s="480"/>
      <c r="E13" s="475" t="s">
        <v>55</v>
      </c>
      <c r="F13" s="474" t="s">
        <v>54</v>
      </c>
      <c r="G13" s="613" t="s">
        <v>74</v>
      </c>
      <c r="H13" s="71" t="s">
        <v>80</v>
      </c>
      <c r="I13" s="71"/>
      <c r="J13" s="71" t="s">
        <v>74</v>
      </c>
      <c r="K13" s="268">
        <v>40851</v>
      </c>
      <c r="L13" s="68" t="s">
        <v>53</v>
      </c>
      <c r="M13" s="339">
        <v>247</v>
      </c>
      <c r="N13" s="510">
        <v>12</v>
      </c>
      <c r="O13" s="392">
        <v>5006</v>
      </c>
      <c r="P13" s="612">
        <v>988</v>
      </c>
      <c r="Q13" s="333">
        <f>2260223+2366876.75+3859638+3137342+1906742.5+252.25+1189485.5+474275+250512+184428+13126+754+5006</f>
        <v>15648661</v>
      </c>
      <c r="R13" s="334">
        <f>286038+329194+554088+452220+278080+42+178270+68355+40409+33224+1975+104+988</f>
        <v>2222987</v>
      </c>
      <c r="S13" s="266">
        <v>40928</v>
      </c>
    </row>
    <row r="14" spans="1:19" ht="10.5" customHeight="1">
      <c r="A14" s="250"/>
      <c r="B14" s="250"/>
      <c r="C14" s="235"/>
      <c r="D14" s="250"/>
      <c r="E14" s="246" t="s">
        <v>55</v>
      </c>
      <c r="F14" s="237" t="s">
        <v>54</v>
      </c>
      <c r="G14" s="613" t="s">
        <v>74</v>
      </c>
      <c r="H14" s="71" t="s">
        <v>80</v>
      </c>
      <c r="I14" s="71"/>
      <c r="J14" s="71" t="s">
        <v>74</v>
      </c>
      <c r="K14" s="268">
        <v>40851</v>
      </c>
      <c r="L14" s="68" t="s">
        <v>53</v>
      </c>
      <c r="M14" s="339">
        <v>247</v>
      </c>
      <c r="N14" s="353">
        <v>11</v>
      </c>
      <c r="O14" s="392">
        <v>754</v>
      </c>
      <c r="P14" s="612">
        <v>104</v>
      </c>
      <c r="Q14" s="354">
        <f>2260223+2366876.75+3859638+3137342+1906742.5+252.25+1189485.5+474275+250512+184428+13126+754</f>
        <v>15643655</v>
      </c>
      <c r="R14" s="355">
        <f>286038+329194+554088+452220+278080+42+178270+68355+40409+33224+1975+104</f>
        <v>2221999</v>
      </c>
      <c r="S14" s="266">
        <v>40921</v>
      </c>
    </row>
    <row r="15" spans="1:19" ht="10.5" customHeight="1">
      <c r="A15" s="482" t="s">
        <v>223</v>
      </c>
      <c r="B15" s="470"/>
      <c r="C15" s="470"/>
      <c r="D15" s="470"/>
      <c r="E15" s="475" t="s">
        <v>55</v>
      </c>
      <c r="F15" s="471"/>
      <c r="G15" s="604" t="s">
        <v>272</v>
      </c>
      <c r="H15" s="65" t="s">
        <v>289</v>
      </c>
      <c r="I15" s="69" t="s">
        <v>85</v>
      </c>
      <c r="J15" s="67" t="s">
        <v>288</v>
      </c>
      <c r="K15" s="268">
        <v>40655</v>
      </c>
      <c r="L15" s="68" t="s">
        <v>68</v>
      </c>
      <c r="M15" s="325">
        <v>156</v>
      </c>
      <c r="N15" s="326">
        <v>25</v>
      </c>
      <c r="O15" s="388">
        <v>1917</v>
      </c>
      <c r="P15" s="605">
        <v>847</v>
      </c>
      <c r="Q15" s="343">
        <f>633760.5+136320.5+35218.5+12632+4659.5+2946+8058+2678+3172+3399.5+598+564+1471+2243+357+860+1425.5+8382.5+1782+968+1958+1164+407.5+84+1917</f>
        <v>867026</v>
      </c>
      <c r="R15" s="348">
        <f>74640+17307+4811+1875+917+522+1372+426+632+730+116+93+159+384+67+172+356+2088+446+190+480+372+60+12+847</f>
        <v>109074</v>
      </c>
      <c r="S15" s="266">
        <v>40928</v>
      </c>
    </row>
    <row r="16" spans="1:19" ht="10.5" customHeight="1">
      <c r="A16" s="245" t="s">
        <v>223</v>
      </c>
      <c r="B16" s="248"/>
      <c r="C16" s="248"/>
      <c r="D16" s="248"/>
      <c r="E16" s="246" t="s">
        <v>55</v>
      </c>
      <c r="F16" s="247"/>
      <c r="G16" s="604" t="s">
        <v>272</v>
      </c>
      <c r="H16" s="65" t="s">
        <v>289</v>
      </c>
      <c r="I16" s="69" t="s">
        <v>85</v>
      </c>
      <c r="J16" s="67" t="s">
        <v>288</v>
      </c>
      <c r="K16" s="268">
        <v>40655</v>
      </c>
      <c r="L16" s="68" t="s">
        <v>68</v>
      </c>
      <c r="M16" s="325">
        <v>156</v>
      </c>
      <c r="N16" s="432">
        <v>24</v>
      </c>
      <c r="O16" s="388">
        <v>84</v>
      </c>
      <c r="P16" s="605">
        <v>12</v>
      </c>
      <c r="Q16" s="343">
        <f>633760.5+136320.5+35218.5+12632+4659.5+2946+8058+2678+3172+3399.5+598+564+1471+2243+357+860+1425.5+8382.5+1782+968+1958+1164+407.5+84</f>
        <v>865109</v>
      </c>
      <c r="R16" s="348">
        <f>74640+17307+4811+1875+917+522+1372+426+632+730+116+93+159+384+67+172+356+2088+446+190+480+372+60+12</f>
        <v>108227</v>
      </c>
      <c r="S16" s="421">
        <v>40907</v>
      </c>
    </row>
    <row r="17" spans="1:19" ht="10.5" customHeight="1">
      <c r="A17" s="245" t="s">
        <v>223</v>
      </c>
      <c r="B17" s="235"/>
      <c r="C17" s="242" t="s">
        <v>292</v>
      </c>
      <c r="D17" s="235"/>
      <c r="E17" s="246" t="s">
        <v>55</v>
      </c>
      <c r="F17" s="247"/>
      <c r="G17" s="604" t="s">
        <v>357</v>
      </c>
      <c r="H17" s="67" t="s">
        <v>126</v>
      </c>
      <c r="I17" s="69"/>
      <c r="J17" s="67" t="s">
        <v>361</v>
      </c>
      <c r="K17" s="268">
        <v>40172</v>
      </c>
      <c r="L17" s="68" t="s">
        <v>68</v>
      </c>
      <c r="M17" s="309">
        <v>60</v>
      </c>
      <c r="N17" s="416">
        <v>40</v>
      </c>
      <c r="O17" s="606">
        <v>1425.5</v>
      </c>
      <c r="P17" s="607">
        <v>356</v>
      </c>
      <c r="Q17" s="419">
        <f>421775.5+397095.5+287050+215248.5+189819.5+180729.5+86816.5+23840+19148+14942.5+8798.5+9599+13618.5+4298+4028+3310+8547+6712.5+1803+1172+973+2291+380.5+3015+1103.5+65+2061.5+1262+1020+2232+2970+5074+2970+1188+250+200+70+4277+2138.5+1425.5</f>
        <v>1933318.5</v>
      </c>
      <c r="R17" s="420">
        <f>43739+40732+31780+27356+25902+24895+12153+4496+3179+3069+1650+2236+3335+954+829+540+1945+1297+429+261+173+594+53+613+200+10+480+240+102+533+743+1267+742+297+28+20+7+1068+534+356</f>
        <v>238837</v>
      </c>
      <c r="S17" s="266">
        <v>40914</v>
      </c>
    </row>
    <row r="18" spans="1:19" ht="10.5" customHeight="1">
      <c r="A18" s="245" t="s">
        <v>223</v>
      </c>
      <c r="B18" s="248"/>
      <c r="C18" s="241">
        <v>2</v>
      </c>
      <c r="D18" s="242" t="s">
        <v>292</v>
      </c>
      <c r="E18" s="246" t="s">
        <v>55</v>
      </c>
      <c r="F18" s="247"/>
      <c r="G18" s="604" t="s">
        <v>144</v>
      </c>
      <c r="H18" s="65" t="s">
        <v>126</v>
      </c>
      <c r="I18" s="69" t="s">
        <v>89</v>
      </c>
      <c r="J18" s="67" t="s">
        <v>145</v>
      </c>
      <c r="K18" s="268">
        <v>40893</v>
      </c>
      <c r="L18" s="68" t="s">
        <v>68</v>
      </c>
      <c r="M18" s="325">
        <v>131</v>
      </c>
      <c r="N18" s="326">
        <v>3</v>
      </c>
      <c r="O18" s="388">
        <v>530345</v>
      </c>
      <c r="P18" s="605">
        <v>60063</v>
      </c>
      <c r="Q18" s="343">
        <f>1320389+1047397.5+530345</f>
        <v>2898131.5</v>
      </c>
      <c r="R18" s="348">
        <f>139659+113627+60063</f>
        <v>313349</v>
      </c>
      <c r="S18" s="421">
        <v>40907</v>
      </c>
    </row>
    <row r="19" spans="1:19" ht="10.5" customHeight="1">
      <c r="A19" s="245" t="s">
        <v>223</v>
      </c>
      <c r="B19" s="235"/>
      <c r="C19" s="241">
        <v>2</v>
      </c>
      <c r="D19" s="242" t="s">
        <v>292</v>
      </c>
      <c r="E19" s="246" t="s">
        <v>55</v>
      </c>
      <c r="F19" s="247"/>
      <c r="G19" s="604" t="s">
        <v>144</v>
      </c>
      <c r="H19" s="65" t="s">
        <v>126</v>
      </c>
      <c r="I19" s="69" t="s">
        <v>89</v>
      </c>
      <c r="J19" s="67" t="s">
        <v>145</v>
      </c>
      <c r="K19" s="268">
        <v>40893</v>
      </c>
      <c r="L19" s="68" t="s">
        <v>68</v>
      </c>
      <c r="M19" s="309">
        <v>131</v>
      </c>
      <c r="N19" s="416">
        <v>4</v>
      </c>
      <c r="O19" s="606">
        <v>445722</v>
      </c>
      <c r="P19" s="607">
        <v>49146</v>
      </c>
      <c r="Q19" s="419">
        <f>1320389+1047397.5+530759.5+445722</f>
        <v>3344268</v>
      </c>
      <c r="R19" s="420">
        <f>139659+113627+60100+49146</f>
        <v>362532</v>
      </c>
      <c r="S19" s="266">
        <v>40914</v>
      </c>
    </row>
    <row r="20" spans="1:19" ht="10.5" customHeight="1">
      <c r="A20" s="482" t="s">
        <v>223</v>
      </c>
      <c r="B20" s="470"/>
      <c r="C20" s="485">
        <v>2</v>
      </c>
      <c r="D20" s="481" t="s">
        <v>292</v>
      </c>
      <c r="E20" s="475" t="s">
        <v>55</v>
      </c>
      <c r="F20" s="472"/>
      <c r="G20" s="604" t="s">
        <v>144</v>
      </c>
      <c r="H20" s="65" t="s">
        <v>126</v>
      </c>
      <c r="I20" s="69" t="s">
        <v>89</v>
      </c>
      <c r="J20" s="67" t="s">
        <v>145</v>
      </c>
      <c r="K20" s="268">
        <v>40893</v>
      </c>
      <c r="L20" s="68" t="s">
        <v>68</v>
      </c>
      <c r="M20" s="325">
        <v>131</v>
      </c>
      <c r="N20" s="326">
        <v>6</v>
      </c>
      <c r="O20" s="388">
        <v>279760.5</v>
      </c>
      <c r="P20" s="605">
        <v>35564</v>
      </c>
      <c r="Q20" s="343">
        <f>1320389+1047397.5+530759.5+445722+254656.5+279760.5</f>
        <v>3878685</v>
      </c>
      <c r="R20" s="348">
        <f>139659+113627+60100+49146+32088+35564</f>
        <v>430184</v>
      </c>
      <c r="S20" s="266">
        <v>40928</v>
      </c>
    </row>
    <row r="21" spans="1:19" ht="10.5" customHeight="1">
      <c r="A21" s="245" t="s">
        <v>223</v>
      </c>
      <c r="B21" s="235"/>
      <c r="C21" s="241">
        <v>2</v>
      </c>
      <c r="D21" s="242" t="s">
        <v>292</v>
      </c>
      <c r="E21" s="246" t="s">
        <v>55</v>
      </c>
      <c r="F21" s="247"/>
      <c r="G21" s="604" t="s">
        <v>144</v>
      </c>
      <c r="H21" s="65" t="s">
        <v>126</v>
      </c>
      <c r="I21" s="69" t="s">
        <v>89</v>
      </c>
      <c r="J21" s="67" t="s">
        <v>145</v>
      </c>
      <c r="K21" s="268">
        <v>40893</v>
      </c>
      <c r="L21" s="68" t="s">
        <v>68</v>
      </c>
      <c r="M21" s="325">
        <v>131</v>
      </c>
      <c r="N21" s="326">
        <v>5</v>
      </c>
      <c r="O21" s="388">
        <v>254766.5</v>
      </c>
      <c r="P21" s="605">
        <v>32088</v>
      </c>
      <c r="Q21" s="343">
        <f>1320389+1047397.5+530759.5+445722+254766.5</f>
        <v>3599034.5</v>
      </c>
      <c r="R21" s="348">
        <f>139659+113627+60100+49146+32088</f>
        <v>394620</v>
      </c>
      <c r="S21" s="266">
        <v>40921</v>
      </c>
    </row>
    <row r="22" spans="1:19" ht="10.5" customHeight="1">
      <c r="A22" s="470"/>
      <c r="B22" s="470"/>
      <c r="C22" s="470"/>
      <c r="D22" s="470"/>
      <c r="E22" s="471"/>
      <c r="F22" s="474" t="s">
        <v>54</v>
      </c>
      <c r="G22" s="616" t="s">
        <v>67</v>
      </c>
      <c r="H22" s="67" t="s">
        <v>85</v>
      </c>
      <c r="I22" s="67"/>
      <c r="J22" s="67" t="s">
        <v>67</v>
      </c>
      <c r="K22" s="268">
        <v>40844</v>
      </c>
      <c r="L22" s="68" t="s">
        <v>68</v>
      </c>
      <c r="M22" s="325">
        <v>278</v>
      </c>
      <c r="N22" s="326">
        <v>13</v>
      </c>
      <c r="O22" s="388">
        <v>17226.5</v>
      </c>
      <c r="P22" s="605">
        <v>2090</v>
      </c>
      <c r="Q22" s="343">
        <f>2021467.25+4147826.75+1641146.5+1086471.5+837723.5+353523.5+115157+12431.5+1554+13261.5+3397.5+17222.5+17226.5</f>
        <v>10268409.5</v>
      </c>
      <c r="R22" s="348">
        <f>231121+459388+190384+130345+104513+46481+14878+1830+250+1860+737+1888+2090</f>
        <v>1185765</v>
      </c>
      <c r="S22" s="266">
        <v>40928</v>
      </c>
    </row>
    <row r="23" spans="1:19" ht="10.5" customHeight="1">
      <c r="A23" s="235"/>
      <c r="B23" s="235"/>
      <c r="C23" s="235"/>
      <c r="D23" s="235"/>
      <c r="E23" s="239"/>
      <c r="F23" s="237" t="s">
        <v>54</v>
      </c>
      <c r="G23" s="616" t="s">
        <v>67</v>
      </c>
      <c r="H23" s="67" t="s">
        <v>85</v>
      </c>
      <c r="I23" s="67"/>
      <c r="J23" s="67" t="s">
        <v>67</v>
      </c>
      <c r="K23" s="268">
        <v>40844</v>
      </c>
      <c r="L23" s="68" t="s">
        <v>68</v>
      </c>
      <c r="M23" s="325">
        <v>278</v>
      </c>
      <c r="N23" s="326">
        <v>12</v>
      </c>
      <c r="O23" s="388">
        <v>17222.5</v>
      </c>
      <c r="P23" s="605">
        <v>1888</v>
      </c>
      <c r="Q23" s="343">
        <f>2021467.25+4147826.75+1641146.5+1086471.5+837723.5+353523.5+115157+12431.5+1554+13261.5+3397.5+17222.5</f>
        <v>10251183</v>
      </c>
      <c r="R23" s="348">
        <f>231121+459388+190384+130345+104513+46481+14878+1830+250+1860+737+1888</f>
        <v>1183675</v>
      </c>
      <c r="S23" s="266">
        <v>40921</v>
      </c>
    </row>
    <row r="24" spans="1:19" ht="10.5" customHeight="1">
      <c r="A24" s="248"/>
      <c r="B24" s="248"/>
      <c r="C24" s="248"/>
      <c r="D24" s="248"/>
      <c r="E24" s="247"/>
      <c r="F24" s="237" t="s">
        <v>54</v>
      </c>
      <c r="G24" s="616" t="s">
        <v>67</v>
      </c>
      <c r="H24" s="67" t="s">
        <v>85</v>
      </c>
      <c r="I24" s="67"/>
      <c r="J24" s="67" t="s">
        <v>67</v>
      </c>
      <c r="K24" s="268">
        <v>40844</v>
      </c>
      <c r="L24" s="68" t="s">
        <v>68</v>
      </c>
      <c r="M24" s="325">
        <v>278</v>
      </c>
      <c r="N24" s="326">
        <v>10</v>
      </c>
      <c r="O24" s="388">
        <v>13261.5</v>
      </c>
      <c r="P24" s="605">
        <v>1860</v>
      </c>
      <c r="Q24" s="343">
        <f>2021467.25+4147826.75+1641146.5+1086471.5+837723.5+353523.5+115157+12431.5+1554+13261.5</f>
        <v>10230563</v>
      </c>
      <c r="R24" s="348">
        <f>231121+459388+190384+130345+104513+46481+14878+1830+250+1860</f>
        <v>1181050</v>
      </c>
      <c r="S24" s="421">
        <v>40907</v>
      </c>
    </row>
    <row r="25" spans="1:19" ht="10.5" customHeight="1">
      <c r="A25" s="235"/>
      <c r="B25" s="235"/>
      <c r="C25" s="235"/>
      <c r="D25" s="235"/>
      <c r="E25" s="239"/>
      <c r="F25" s="237" t="s">
        <v>54</v>
      </c>
      <c r="G25" s="616" t="s">
        <v>67</v>
      </c>
      <c r="H25" s="67" t="s">
        <v>85</v>
      </c>
      <c r="I25" s="67"/>
      <c r="J25" s="67" t="s">
        <v>67</v>
      </c>
      <c r="K25" s="268">
        <v>40844</v>
      </c>
      <c r="L25" s="68" t="s">
        <v>68</v>
      </c>
      <c r="M25" s="309">
        <v>278</v>
      </c>
      <c r="N25" s="416">
        <v>11</v>
      </c>
      <c r="O25" s="606">
        <v>3397.5</v>
      </c>
      <c r="P25" s="607">
        <v>737</v>
      </c>
      <c r="Q25" s="419">
        <f>2021467.25+4147826.75+1641146.5+1086471.5+837723.5+353523.5+115157+12431.5+1554+13261.5+3397.5</f>
        <v>10233960.5</v>
      </c>
      <c r="R25" s="420">
        <f>231121+459388+190384+130345+104513+46481+14878+1830+250+1860+737</f>
        <v>1181787</v>
      </c>
      <c r="S25" s="266">
        <v>40914</v>
      </c>
    </row>
    <row r="26" spans="1:19" ht="10.5" customHeight="1">
      <c r="A26" s="482" t="s">
        <v>223</v>
      </c>
      <c r="B26" s="480"/>
      <c r="C26" s="470"/>
      <c r="D26" s="483"/>
      <c r="E26" s="475" t="s">
        <v>55</v>
      </c>
      <c r="F26" s="478"/>
      <c r="G26" s="617" t="s">
        <v>266</v>
      </c>
      <c r="H26" s="70" t="s">
        <v>422</v>
      </c>
      <c r="I26" s="65" t="s">
        <v>186</v>
      </c>
      <c r="J26" s="70" t="s">
        <v>267</v>
      </c>
      <c r="K26" s="269">
        <v>39073</v>
      </c>
      <c r="L26" s="68" t="s">
        <v>53</v>
      </c>
      <c r="M26" s="352">
        <v>51</v>
      </c>
      <c r="N26" s="353">
        <v>20</v>
      </c>
      <c r="O26" s="392">
        <v>1802</v>
      </c>
      <c r="P26" s="612">
        <v>360</v>
      </c>
      <c r="Q26" s="333">
        <f>145565+155630+55982+15271+7453.5+9440+11300.5+7141.5+2772.5+2945+30+431+4621+226+400+118+79+0+1201+1802</f>
        <v>422409</v>
      </c>
      <c r="R26" s="334">
        <f>17748+18932+7628+2641+1317+1724+2010+1184+553+655+5+131+1001+24+110+22+13+0+240+360</f>
        <v>56298</v>
      </c>
      <c r="S26" s="266">
        <v>40928</v>
      </c>
    </row>
    <row r="27" spans="1:19" ht="10.5" customHeight="1">
      <c r="A27" s="245" t="s">
        <v>223</v>
      </c>
      <c r="B27" s="259"/>
      <c r="C27" s="248"/>
      <c r="D27" s="259"/>
      <c r="E27" s="246" t="s">
        <v>55</v>
      </c>
      <c r="F27" s="308"/>
      <c r="G27" s="617" t="s">
        <v>266</v>
      </c>
      <c r="H27" s="70" t="s">
        <v>422</v>
      </c>
      <c r="I27" s="65" t="s">
        <v>186</v>
      </c>
      <c r="J27" s="70" t="s">
        <v>267</v>
      </c>
      <c r="K27" s="269">
        <v>39073</v>
      </c>
      <c r="L27" s="68" t="s">
        <v>53</v>
      </c>
      <c r="M27" s="352">
        <v>51</v>
      </c>
      <c r="N27" s="353">
        <v>20</v>
      </c>
      <c r="O27" s="392">
        <v>1201</v>
      </c>
      <c r="P27" s="612">
        <v>240</v>
      </c>
      <c r="Q27" s="354">
        <f>145565+155630+55982+15271+7453.5+9440+11300.5+7141.5+2772.5+2945+30+431+4621+226+400+118+79+0+1201</f>
        <v>420607</v>
      </c>
      <c r="R27" s="355">
        <f>17748+18932+7628+2641+1317+1724+2010+1184+553+655+5+131+1001+24+110+22+13+0+240</f>
        <v>55938</v>
      </c>
      <c r="S27" s="421">
        <v>40907</v>
      </c>
    </row>
    <row r="28" spans="1:19" ht="10.5" customHeight="1">
      <c r="A28" s="482" t="s">
        <v>223</v>
      </c>
      <c r="B28" s="480"/>
      <c r="C28" s="470"/>
      <c r="D28" s="481" t="s">
        <v>292</v>
      </c>
      <c r="E28" s="475" t="s">
        <v>55</v>
      </c>
      <c r="F28" s="478"/>
      <c r="G28" s="617" t="s">
        <v>472</v>
      </c>
      <c r="H28" s="70" t="s">
        <v>444</v>
      </c>
      <c r="I28" s="65" t="s">
        <v>186</v>
      </c>
      <c r="J28" s="70" t="s">
        <v>473</v>
      </c>
      <c r="K28" s="269">
        <v>39192</v>
      </c>
      <c r="L28" s="68" t="s">
        <v>53</v>
      </c>
      <c r="M28" s="550">
        <v>23</v>
      </c>
      <c r="N28" s="551">
        <v>1</v>
      </c>
      <c r="O28" s="392">
        <v>3003</v>
      </c>
      <c r="P28" s="612">
        <v>600</v>
      </c>
      <c r="Q28" s="333">
        <f>407730+156171.5+87089+48964+29084+13173.5+8330+7579.5+805.5+1100+1464+3021+264+123+23+430+70+2408+0.5+234+42+54+3003</f>
        <v>771163.5</v>
      </c>
      <c r="R28" s="334">
        <f>48903+19527+11239+7709+5693+3389+1770+1751+250+248+325+755+88+19+3+86+14+602+39+7+9+600</f>
        <v>103026</v>
      </c>
      <c r="S28" s="266">
        <v>40928</v>
      </c>
    </row>
    <row r="29" spans="1:19" ht="10.5" customHeight="1">
      <c r="A29" s="248"/>
      <c r="B29" s="248"/>
      <c r="C29" s="248"/>
      <c r="D29" s="248"/>
      <c r="E29" s="247"/>
      <c r="F29" s="237" t="s">
        <v>54</v>
      </c>
      <c r="G29" s="616" t="s">
        <v>143</v>
      </c>
      <c r="H29" s="65" t="s">
        <v>127</v>
      </c>
      <c r="I29" s="69"/>
      <c r="J29" s="67" t="s">
        <v>143</v>
      </c>
      <c r="K29" s="268">
        <v>40893</v>
      </c>
      <c r="L29" s="68" t="s">
        <v>68</v>
      </c>
      <c r="M29" s="325">
        <v>23</v>
      </c>
      <c r="N29" s="326">
        <v>3</v>
      </c>
      <c r="O29" s="388">
        <v>20298.5</v>
      </c>
      <c r="P29" s="605">
        <v>2691</v>
      </c>
      <c r="Q29" s="343">
        <f>53228.5+28585+20298.5</f>
        <v>102112</v>
      </c>
      <c r="R29" s="348">
        <f>6440+3537+2691</f>
        <v>12668</v>
      </c>
      <c r="S29" s="421">
        <v>40907</v>
      </c>
    </row>
    <row r="30" spans="1:19" ht="10.5" customHeight="1">
      <c r="A30" s="235"/>
      <c r="B30" s="235"/>
      <c r="C30" s="235"/>
      <c r="D30" s="235"/>
      <c r="E30" s="239"/>
      <c r="F30" s="237" t="s">
        <v>54</v>
      </c>
      <c r="G30" s="616" t="s">
        <v>143</v>
      </c>
      <c r="H30" s="65" t="s">
        <v>127</v>
      </c>
      <c r="I30" s="69"/>
      <c r="J30" s="67" t="s">
        <v>143</v>
      </c>
      <c r="K30" s="268">
        <v>40893</v>
      </c>
      <c r="L30" s="68" t="s">
        <v>68</v>
      </c>
      <c r="M30" s="309">
        <v>23</v>
      </c>
      <c r="N30" s="416">
        <v>4</v>
      </c>
      <c r="O30" s="606">
        <v>8299</v>
      </c>
      <c r="P30" s="607">
        <v>1237</v>
      </c>
      <c r="Q30" s="419">
        <f>53228.5+28585+20298.5+8299</f>
        <v>110411</v>
      </c>
      <c r="R30" s="420">
        <f>6440+3537+2691+1237</f>
        <v>13905</v>
      </c>
      <c r="S30" s="266">
        <v>40914</v>
      </c>
    </row>
    <row r="31" spans="1:19" ht="10.5" customHeight="1">
      <c r="A31" s="470"/>
      <c r="B31" s="470"/>
      <c r="C31" s="470"/>
      <c r="D31" s="470"/>
      <c r="E31" s="471"/>
      <c r="F31" s="474" t="s">
        <v>54</v>
      </c>
      <c r="G31" s="616" t="s">
        <v>143</v>
      </c>
      <c r="H31" s="65" t="s">
        <v>127</v>
      </c>
      <c r="I31" s="69"/>
      <c r="J31" s="67" t="s">
        <v>143</v>
      </c>
      <c r="K31" s="268">
        <v>40893</v>
      </c>
      <c r="L31" s="68" t="s">
        <v>68</v>
      </c>
      <c r="M31" s="325">
        <v>23</v>
      </c>
      <c r="N31" s="326">
        <v>6</v>
      </c>
      <c r="O31" s="388">
        <v>6463</v>
      </c>
      <c r="P31" s="605">
        <v>1419</v>
      </c>
      <c r="Q31" s="343">
        <f>53228.5+28585+20298.5+8299+5922+6463</f>
        <v>122796</v>
      </c>
      <c r="R31" s="348">
        <f>6440+3537+2691+1237+891+1419</f>
        <v>16215</v>
      </c>
      <c r="S31" s="266">
        <v>40928</v>
      </c>
    </row>
    <row r="32" spans="1:19" ht="10.5" customHeight="1">
      <c r="A32" s="235"/>
      <c r="B32" s="235"/>
      <c r="C32" s="235"/>
      <c r="D32" s="235"/>
      <c r="E32" s="239"/>
      <c r="F32" s="237" t="s">
        <v>54</v>
      </c>
      <c r="G32" s="616" t="s">
        <v>143</v>
      </c>
      <c r="H32" s="65" t="s">
        <v>127</v>
      </c>
      <c r="I32" s="69"/>
      <c r="J32" s="67" t="s">
        <v>143</v>
      </c>
      <c r="K32" s="268">
        <v>40893</v>
      </c>
      <c r="L32" s="68" t="s">
        <v>68</v>
      </c>
      <c r="M32" s="325">
        <v>23</v>
      </c>
      <c r="N32" s="326">
        <v>5</v>
      </c>
      <c r="O32" s="388">
        <v>5922</v>
      </c>
      <c r="P32" s="605">
        <v>891</v>
      </c>
      <c r="Q32" s="343">
        <f>53228.5+28585+20298.5+8299+5922</f>
        <v>116333</v>
      </c>
      <c r="R32" s="348">
        <f>6440+3537+2691+1237+891</f>
        <v>14796</v>
      </c>
      <c r="S32" s="266">
        <v>40921</v>
      </c>
    </row>
    <row r="33" spans="1:19" ht="10.5" customHeight="1">
      <c r="A33" s="235"/>
      <c r="B33" s="235"/>
      <c r="C33" s="248"/>
      <c r="D33" s="235"/>
      <c r="E33" s="247"/>
      <c r="F33" s="247"/>
      <c r="G33" s="618" t="s">
        <v>241</v>
      </c>
      <c r="H33" s="68" t="s">
        <v>129</v>
      </c>
      <c r="I33" s="68" t="s">
        <v>79</v>
      </c>
      <c r="J33" s="68" t="s">
        <v>242</v>
      </c>
      <c r="K33" s="268">
        <v>40781</v>
      </c>
      <c r="L33" s="68" t="s">
        <v>13</v>
      </c>
      <c r="M33" s="434">
        <v>10</v>
      </c>
      <c r="N33" s="326">
        <v>9</v>
      </c>
      <c r="O33" s="392">
        <v>1188</v>
      </c>
      <c r="P33" s="612">
        <v>237</v>
      </c>
      <c r="Q33" s="333">
        <v>32436</v>
      </c>
      <c r="R33" s="334">
        <v>4095</v>
      </c>
      <c r="S33" s="421">
        <v>40907</v>
      </c>
    </row>
    <row r="34" spans="1:19" ht="10.5" customHeight="1">
      <c r="A34" s="251"/>
      <c r="B34" s="251"/>
      <c r="C34" s="248"/>
      <c r="D34" s="251"/>
      <c r="E34" s="234"/>
      <c r="F34" s="237" t="s">
        <v>54</v>
      </c>
      <c r="G34" s="619" t="s">
        <v>120</v>
      </c>
      <c r="H34" s="65" t="s">
        <v>122</v>
      </c>
      <c r="I34" s="68"/>
      <c r="J34" s="68" t="s">
        <v>120</v>
      </c>
      <c r="K34" s="268">
        <v>40886</v>
      </c>
      <c r="L34" s="68" t="s">
        <v>121</v>
      </c>
      <c r="M34" s="325">
        <v>82</v>
      </c>
      <c r="N34" s="344">
        <v>4</v>
      </c>
      <c r="O34" s="620">
        <v>27702.5</v>
      </c>
      <c r="P34" s="621">
        <v>3949</v>
      </c>
      <c r="Q34" s="358">
        <v>629561</v>
      </c>
      <c r="R34" s="359">
        <v>71923</v>
      </c>
      <c r="S34" s="421">
        <v>40907</v>
      </c>
    </row>
    <row r="35" spans="1:19" ht="10.5" customHeight="1">
      <c r="A35" s="251"/>
      <c r="B35" s="251"/>
      <c r="C35" s="235"/>
      <c r="D35" s="251"/>
      <c r="E35" s="239"/>
      <c r="F35" s="237" t="s">
        <v>54</v>
      </c>
      <c r="G35" s="619" t="s">
        <v>120</v>
      </c>
      <c r="H35" s="65" t="s">
        <v>122</v>
      </c>
      <c r="I35" s="68"/>
      <c r="J35" s="68" t="s">
        <v>120</v>
      </c>
      <c r="K35" s="268">
        <v>40886</v>
      </c>
      <c r="L35" s="68" t="s">
        <v>121</v>
      </c>
      <c r="M35" s="309">
        <v>82</v>
      </c>
      <c r="N35" s="264">
        <v>5</v>
      </c>
      <c r="O35" s="622">
        <v>8167.5</v>
      </c>
      <c r="P35" s="623">
        <v>1300</v>
      </c>
      <c r="Q35" s="438">
        <v>637877</v>
      </c>
      <c r="R35" s="439">
        <v>73245</v>
      </c>
      <c r="S35" s="266">
        <v>40914</v>
      </c>
    </row>
    <row r="36" spans="1:19" ht="10.5" customHeight="1">
      <c r="A36" s="251"/>
      <c r="B36" s="251"/>
      <c r="C36" s="235"/>
      <c r="D36" s="251"/>
      <c r="E36" s="239"/>
      <c r="F36" s="237" t="s">
        <v>54</v>
      </c>
      <c r="G36" s="619" t="s">
        <v>120</v>
      </c>
      <c r="H36" s="65" t="s">
        <v>122</v>
      </c>
      <c r="I36" s="68"/>
      <c r="J36" s="68" t="s">
        <v>120</v>
      </c>
      <c r="K36" s="268">
        <v>40886</v>
      </c>
      <c r="L36" s="68" t="s">
        <v>121</v>
      </c>
      <c r="M36" s="325">
        <v>82</v>
      </c>
      <c r="N36" s="344">
        <v>6</v>
      </c>
      <c r="O36" s="620">
        <v>4728</v>
      </c>
      <c r="P36" s="621">
        <v>758</v>
      </c>
      <c r="Q36" s="358">
        <v>642785</v>
      </c>
      <c r="R36" s="359">
        <v>74003</v>
      </c>
      <c r="S36" s="266">
        <v>40921</v>
      </c>
    </row>
    <row r="37" spans="1:19" ht="10.5" customHeight="1">
      <c r="A37" s="540"/>
      <c r="B37" s="540"/>
      <c r="C37" s="470"/>
      <c r="D37" s="540"/>
      <c r="E37" s="471"/>
      <c r="F37" s="474" t="s">
        <v>54</v>
      </c>
      <c r="G37" s="619" t="s">
        <v>120</v>
      </c>
      <c r="H37" s="65" t="s">
        <v>122</v>
      </c>
      <c r="I37" s="68"/>
      <c r="J37" s="68" t="s">
        <v>120</v>
      </c>
      <c r="K37" s="268">
        <v>40886</v>
      </c>
      <c r="L37" s="68" t="s">
        <v>121</v>
      </c>
      <c r="M37" s="325">
        <v>82</v>
      </c>
      <c r="N37" s="344">
        <v>7</v>
      </c>
      <c r="O37" s="620">
        <v>2957.9</v>
      </c>
      <c r="P37" s="621">
        <v>493</v>
      </c>
      <c r="Q37" s="358">
        <v>645699.9</v>
      </c>
      <c r="R37" s="359">
        <v>74489</v>
      </c>
      <c r="S37" s="266">
        <v>40928</v>
      </c>
    </row>
    <row r="38" spans="1:19" ht="10.5" customHeight="1">
      <c r="A38" s="259"/>
      <c r="B38" s="259"/>
      <c r="C38" s="248"/>
      <c r="D38" s="259"/>
      <c r="E38" s="247"/>
      <c r="F38" s="237" t="s">
        <v>54</v>
      </c>
      <c r="G38" s="624" t="s">
        <v>66</v>
      </c>
      <c r="H38" s="70" t="s">
        <v>81</v>
      </c>
      <c r="I38" s="70"/>
      <c r="J38" s="70" t="s">
        <v>66</v>
      </c>
      <c r="K38" s="268">
        <v>40844</v>
      </c>
      <c r="L38" s="68" t="s">
        <v>53</v>
      </c>
      <c r="M38" s="339">
        <v>245</v>
      </c>
      <c r="N38" s="353">
        <v>10</v>
      </c>
      <c r="O38" s="389">
        <v>1680</v>
      </c>
      <c r="P38" s="614">
        <v>262</v>
      </c>
      <c r="Q38" s="354">
        <f>2095427.5+1865707+650031+295029.5+57559.5+69427+8354+22014.5+2923+1680</f>
        <v>5068153</v>
      </c>
      <c r="R38" s="355">
        <f>212522+189875+68849+32548+6112+10910+1695+4739+564+262</f>
        <v>528076</v>
      </c>
      <c r="S38" s="421">
        <v>40907</v>
      </c>
    </row>
    <row r="39" spans="1:19" ht="10.5" customHeight="1">
      <c r="A39" s="250"/>
      <c r="B39" s="250"/>
      <c r="C39" s="235"/>
      <c r="D39" s="250"/>
      <c r="E39" s="239"/>
      <c r="F39" s="237" t="s">
        <v>54</v>
      </c>
      <c r="G39" s="624" t="s">
        <v>66</v>
      </c>
      <c r="H39" s="70" t="s">
        <v>81</v>
      </c>
      <c r="I39" s="70"/>
      <c r="J39" s="70" t="s">
        <v>66</v>
      </c>
      <c r="K39" s="268">
        <v>40844</v>
      </c>
      <c r="L39" s="68" t="s">
        <v>53</v>
      </c>
      <c r="M39" s="313">
        <v>245</v>
      </c>
      <c r="N39" s="429">
        <v>11</v>
      </c>
      <c r="O39" s="615">
        <v>573</v>
      </c>
      <c r="P39" s="611">
        <v>94</v>
      </c>
      <c r="Q39" s="431">
        <f>2095427.5+1865707+650031+295029.5+57559.5+69427+8354+22014.5+2923+1680+573</f>
        <v>5068726</v>
      </c>
      <c r="R39" s="425">
        <f>212522+189875+68849+32548+6112+10910+1695+4739+564+262+94</f>
        <v>528170</v>
      </c>
      <c r="S39" s="266">
        <v>40914</v>
      </c>
    </row>
    <row r="40" spans="1:19" ht="10.5" customHeight="1">
      <c r="A40" s="250"/>
      <c r="B40" s="250"/>
      <c r="C40" s="235"/>
      <c r="D40" s="250"/>
      <c r="E40" s="239"/>
      <c r="F40" s="237" t="s">
        <v>54</v>
      </c>
      <c r="G40" s="624" t="s">
        <v>335</v>
      </c>
      <c r="H40" s="70" t="s">
        <v>338</v>
      </c>
      <c r="I40" s="65" t="s">
        <v>138</v>
      </c>
      <c r="J40" s="70" t="s">
        <v>335</v>
      </c>
      <c r="K40" s="268">
        <v>40830</v>
      </c>
      <c r="L40" s="68" t="s">
        <v>53</v>
      </c>
      <c r="M40" s="312">
        <v>142</v>
      </c>
      <c r="N40" s="429">
        <v>12</v>
      </c>
      <c r="O40" s="615">
        <v>2402</v>
      </c>
      <c r="P40" s="611">
        <v>480</v>
      </c>
      <c r="Q40" s="431">
        <f>248732+139942.5+41015.5+4968+2270+1973+10279+6007+1097+295+261+2402</f>
        <v>459242</v>
      </c>
      <c r="R40" s="425">
        <f>33636+19210+5940+800+378+422+1552+983+159+45+36+480</f>
        <v>63641</v>
      </c>
      <c r="S40" s="266">
        <v>40914</v>
      </c>
    </row>
    <row r="41" spans="1:19" ht="10.5" customHeight="1">
      <c r="A41" s="248"/>
      <c r="B41" s="248"/>
      <c r="C41" s="248"/>
      <c r="D41" s="248"/>
      <c r="E41" s="247"/>
      <c r="F41" s="237" t="s">
        <v>54</v>
      </c>
      <c r="G41" s="625" t="s">
        <v>71</v>
      </c>
      <c r="H41" s="65" t="s">
        <v>82</v>
      </c>
      <c r="I41" s="65"/>
      <c r="J41" s="65" t="s">
        <v>71</v>
      </c>
      <c r="K41" s="269">
        <v>40858</v>
      </c>
      <c r="L41" s="68" t="s">
        <v>53</v>
      </c>
      <c r="M41" s="325">
        <v>130</v>
      </c>
      <c r="N41" s="353">
        <v>8</v>
      </c>
      <c r="O41" s="389">
        <v>8754</v>
      </c>
      <c r="P41" s="614">
        <v>1547</v>
      </c>
      <c r="Q41" s="354">
        <f>665902+436506+215139.5+18371+13790+6539+18719+8754</f>
        <v>1383720.5</v>
      </c>
      <c r="R41" s="355">
        <f>66262+44749+24699+2311+1764+1135+3015+1547</f>
        <v>145482</v>
      </c>
      <c r="S41" s="421">
        <v>40907</v>
      </c>
    </row>
    <row r="42" spans="1:19" ht="10.5" customHeight="1">
      <c r="A42" s="470"/>
      <c r="B42" s="470"/>
      <c r="C42" s="470"/>
      <c r="D42" s="470"/>
      <c r="E42" s="471"/>
      <c r="F42" s="474" t="s">
        <v>54</v>
      </c>
      <c r="G42" s="625" t="s">
        <v>71</v>
      </c>
      <c r="H42" s="65" t="s">
        <v>82</v>
      </c>
      <c r="I42" s="65"/>
      <c r="J42" s="65" t="s">
        <v>71</v>
      </c>
      <c r="K42" s="269">
        <v>40858</v>
      </c>
      <c r="L42" s="68" t="s">
        <v>53</v>
      </c>
      <c r="M42" s="325">
        <v>130</v>
      </c>
      <c r="N42" s="510">
        <v>11</v>
      </c>
      <c r="O42" s="392">
        <v>5914</v>
      </c>
      <c r="P42" s="612">
        <v>595</v>
      </c>
      <c r="Q42" s="333">
        <f>665902+436506+215139.5+18371+13790+6539+18719+8754+1085+753+5914</f>
        <v>1391472.5</v>
      </c>
      <c r="R42" s="334">
        <f>66262+44749+24699+2311+1764+1135+3015+1547+179+111+595</f>
        <v>146367</v>
      </c>
      <c r="S42" s="266">
        <v>40928</v>
      </c>
    </row>
    <row r="43" spans="1:19" ht="10.5" customHeight="1">
      <c r="A43" s="235"/>
      <c r="B43" s="235"/>
      <c r="C43" s="235"/>
      <c r="D43" s="235"/>
      <c r="E43" s="239"/>
      <c r="F43" s="237" t="s">
        <v>54</v>
      </c>
      <c r="G43" s="625" t="s">
        <v>71</v>
      </c>
      <c r="H43" s="65" t="s">
        <v>82</v>
      </c>
      <c r="I43" s="65"/>
      <c r="J43" s="65" t="s">
        <v>71</v>
      </c>
      <c r="K43" s="269">
        <v>40858</v>
      </c>
      <c r="L43" s="68" t="s">
        <v>53</v>
      </c>
      <c r="M43" s="309">
        <v>130</v>
      </c>
      <c r="N43" s="429">
        <v>2</v>
      </c>
      <c r="O43" s="615">
        <v>1085</v>
      </c>
      <c r="P43" s="611">
        <v>179</v>
      </c>
      <c r="Q43" s="431">
        <f>665902+436506+215139.5+18371+13790+6539+18719+8754+1085</f>
        <v>1384805.5</v>
      </c>
      <c r="R43" s="425">
        <f>66262+44749+24699+2311+1764+1135+3015+1547+179</f>
        <v>145661</v>
      </c>
      <c r="S43" s="266">
        <v>40914</v>
      </c>
    </row>
    <row r="44" spans="1:19" ht="10.5" customHeight="1">
      <c r="A44" s="235"/>
      <c r="B44" s="235"/>
      <c r="C44" s="235"/>
      <c r="D44" s="235"/>
      <c r="E44" s="239"/>
      <c r="F44" s="237" t="s">
        <v>54</v>
      </c>
      <c r="G44" s="625" t="s">
        <v>71</v>
      </c>
      <c r="H44" s="65" t="s">
        <v>82</v>
      </c>
      <c r="I44" s="65"/>
      <c r="J44" s="65" t="s">
        <v>71</v>
      </c>
      <c r="K44" s="269">
        <v>40858</v>
      </c>
      <c r="L44" s="68" t="s">
        <v>53</v>
      </c>
      <c r="M44" s="325">
        <v>130</v>
      </c>
      <c r="N44" s="353">
        <v>1</v>
      </c>
      <c r="O44" s="392">
        <v>753</v>
      </c>
      <c r="P44" s="612">
        <v>111</v>
      </c>
      <c r="Q44" s="354">
        <f>665902+436506+215139.5+18371+13790+6539+18719+8754+1085+753</f>
        <v>1385558.5</v>
      </c>
      <c r="R44" s="355">
        <f>66262+44749+24699+2311+1764+1135+3015+1547+179+111</f>
        <v>145772</v>
      </c>
      <c r="S44" s="266">
        <v>40921</v>
      </c>
    </row>
    <row r="45" spans="1:19" ht="10.5" customHeight="1">
      <c r="A45" s="235"/>
      <c r="B45" s="235"/>
      <c r="C45" s="235"/>
      <c r="D45" s="235"/>
      <c r="E45" s="239"/>
      <c r="F45" s="237" t="s">
        <v>54</v>
      </c>
      <c r="G45" s="616" t="s">
        <v>269</v>
      </c>
      <c r="H45" s="65" t="s">
        <v>284</v>
      </c>
      <c r="I45" s="69"/>
      <c r="J45" s="67" t="s">
        <v>269</v>
      </c>
      <c r="K45" s="268">
        <v>40809</v>
      </c>
      <c r="L45" s="68" t="s">
        <v>68</v>
      </c>
      <c r="M45" s="309">
        <v>66</v>
      </c>
      <c r="N45" s="416">
        <v>16</v>
      </c>
      <c r="O45" s="606">
        <v>4669.5</v>
      </c>
      <c r="P45" s="607">
        <v>1220</v>
      </c>
      <c r="Q45" s="419">
        <f>382290+386122+344313.5+244996+104138.75+43618.5+27632+12528+6812+832+1782+2257+1782+5477.5+2138.5+4669.5</f>
        <v>1571389.25</v>
      </c>
      <c r="R45" s="420">
        <f>34863+36137+32260+23896+12188+5940+2894+1417+1234+90+446+565+446+1293+535+1220</f>
        <v>155424</v>
      </c>
      <c r="S45" s="266">
        <v>40914</v>
      </c>
    </row>
    <row r="46" spans="1:19" ht="10.5" customHeight="1">
      <c r="A46" s="248"/>
      <c r="B46" s="248"/>
      <c r="C46" s="248"/>
      <c r="D46" s="248"/>
      <c r="E46" s="247"/>
      <c r="F46" s="237" t="s">
        <v>54</v>
      </c>
      <c r="G46" s="616" t="s">
        <v>269</v>
      </c>
      <c r="H46" s="65" t="s">
        <v>284</v>
      </c>
      <c r="I46" s="69"/>
      <c r="J46" s="67" t="s">
        <v>269</v>
      </c>
      <c r="K46" s="268">
        <v>40809</v>
      </c>
      <c r="L46" s="68" t="s">
        <v>68</v>
      </c>
      <c r="M46" s="325">
        <v>66</v>
      </c>
      <c r="N46" s="432">
        <v>15</v>
      </c>
      <c r="O46" s="388">
        <v>2138.5</v>
      </c>
      <c r="P46" s="605">
        <v>535</v>
      </c>
      <c r="Q46" s="343">
        <f>382290+386122+344313.5+244996+104138.75+43618.5+27632+12528+6812+832+1782+2257+1782+5477.5+2138.5</f>
        <v>1566719.75</v>
      </c>
      <c r="R46" s="348">
        <f>34863+36137+32260+23896+12188+5940+2894+1417+1234+90+446+565+446+1293+535</f>
        <v>154204</v>
      </c>
      <c r="S46" s="421">
        <v>40907</v>
      </c>
    </row>
    <row r="47" spans="1:19" ht="10.5" customHeight="1">
      <c r="A47" s="235"/>
      <c r="B47" s="235"/>
      <c r="C47" s="235"/>
      <c r="D47" s="235"/>
      <c r="E47" s="239"/>
      <c r="F47" s="237" t="s">
        <v>54</v>
      </c>
      <c r="G47" s="616" t="s">
        <v>269</v>
      </c>
      <c r="H47" s="65" t="s">
        <v>284</v>
      </c>
      <c r="I47" s="69"/>
      <c r="J47" s="67" t="s">
        <v>269</v>
      </c>
      <c r="K47" s="268">
        <v>40809</v>
      </c>
      <c r="L47" s="68" t="s">
        <v>68</v>
      </c>
      <c r="M47" s="325">
        <v>66</v>
      </c>
      <c r="N47" s="326">
        <v>16</v>
      </c>
      <c r="O47" s="388">
        <v>970</v>
      </c>
      <c r="P47" s="605">
        <v>404</v>
      </c>
      <c r="Q47" s="343">
        <f>382290+386122+344313.5+244996+104138.75+43618.5+27632+12528+6812+832+1782+2257+1782+5477.5+2138.5+4669.5+970</f>
        <v>1572359.25</v>
      </c>
      <c r="R47" s="348">
        <f>34863+36137+32260+23896+12188+5940+2894+1417+1234+90+446+565+446+1293+535+1220+404</f>
        <v>155828</v>
      </c>
      <c r="S47" s="266">
        <v>40921</v>
      </c>
    </row>
    <row r="48" spans="1:19" ht="10.5" customHeight="1">
      <c r="A48" s="250"/>
      <c r="B48" s="250"/>
      <c r="C48" s="235"/>
      <c r="D48" s="250"/>
      <c r="E48" s="239"/>
      <c r="F48" s="237" t="s">
        <v>54</v>
      </c>
      <c r="G48" s="624" t="s">
        <v>337</v>
      </c>
      <c r="H48" s="70" t="s">
        <v>339</v>
      </c>
      <c r="I48" s="65" t="s">
        <v>138</v>
      </c>
      <c r="J48" s="70" t="s">
        <v>337</v>
      </c>
      <c r="K48" s="268">
        <v>40914</v>
      </c>
      <c r="L48" s="68" t="s">
        <v>53</v>
      </c>
      <c r="M48" s="312">
        <v>97</v>
      </c>
      <c r="N48" s="429">
        <v>1</v>
      </c>
      <c r="O48" s="615">
        <v>216520</v>
      </c>
      <c r="P48" s="611">
        <v>26831</v>
      </c>
      <c r="Q48" s="431">
        <f>216520</f>
        <v>216520</v>
      </c>
      <c r="R48" s="425">
        <f>26831</f>
        <v>26831</v>
      </c>
      <c r="S48" s="266">
        <v>40914</v>
      </c>
    </row>
    <row r="49" spans="1:19" ht="10.5" customHeight="1">
      <c r="A49" s="250"/>
      <c r="B49" s="250"/>
      <c r="C49" s="235"/>
      <c r="D49" s="250"/>
      <c r="E49" s="239"/>
      <c r="F49" s="237" t="s">
        <v>54</v>
      </c>
      <c r="G49" s="624" t="s">
        <v>337</v>
      </c>
      <c r="H49" s="70" t="s">
        <v>339</v>
      </c>
      <c r="I49" s="65" t="s">
        <v>138</v>
      </c>
      <c r="J49" s="70" t="s">
        <v>337</v>
      </c>
      <c r="K49" s="268">
        <v>40914</v>
      </c>
      <c r="L49" s="68" t="s">
        <v>53</v>
      </c>
      <c r="M49" s="352">
        <v>97</v>
      </c>
      <c r="N49" s="353">
        <v>2</v>
      </c>
      <c r="O49" s="392">
        <v>198358.5</v>
      </c>
      <c r="P49" s="612">
        <v>25025</v>
      </c>
      <c r="Q49" s="354">
        <f>216520+198358.5</f>
        <v>414878.5</v>
      </c>
      <c r="R49" s="355">
        <f>26831+25025</f>
        <v>51856</v>
      </c>
      <c r="S49" s="266">
        <v>40921</v>
      </c>
    </row>
    <row r="50" spans="1:19" ht="10.5" customHeight="1">
      <c r="A50" s="441"/>
      <c r="B50" s="441"/>
      <c r="C50" s="248"/>
      <c r="D50" s="441"/>
      <c r="E50" s="442"/>
      <c r="F50" s="247"/>
      <c r="G50" s="626" t="s">
        <v>137</v>
      </c>
      <c r="H50" s="65" t="s">
        <v>140</v>
      </c>
      <c r="I50" s="65" t="s">
        <v>138</v>
      </c>
      <c r="J50" s="65" t="s">
        <v>139</v>
      </c>
      <c r="K50" s="268">
        <v>40893</v>
      </c>
      <c r="L50" s="68" t="s">
        <v>53</v>
      </c>
      <c r="M50" s="325">
        <v>28</v>
      </c>
      <c r="N50" s="353">
        <v>3</v>
      </c>
      <c r="O50" s="389">
        <v>19211</v>
      </c>
      <c r="P50" s="614">
        <v>2152</v>
      </c>
      <c r="Q50" s="354">
        <f>152692.5+78009+19211</f>
        <v>249912.5</v>
      </c>
      <c r="R50" s="355">
        <f>12107+6230+2152</f>
        <v>20489</v>
      </c>
      <c r="S50" s="421">
        <v>40907</v>
      </c>
    </row>
    <row r="51" spans="1:19" ht="10.5" customHeight="1">
      <c r="A51" s="251"/>
      <c r="B51" s="251"/>
      <c r="C51" s="235"/>
      <c r="D51" s="251"/>
      <c r="E51" s="236"/>
      <c r="F51" s="239"/>
      <c r="G51" s="626" t="s">
        <v>137</v>
      </c>
      <c r="H51" s="65" t="s">
        <v>140</v>
      </c>
      <c r="I51" s="65" t="s">
        <v>138</v>
      </c>
      <c r="J51" s="65" t="s">
        <v>139</v>
      </c>
      <c r="K51" s="268">
        <v>40893</v>
      </c>
      <c r="L51" s="68" t="s">
        <v>53</v>
      </c>
      <c r="M51" s="309">
        <v>28</v>
      </c>
      <c r="N51" s="429">
        <v>4</v>
      </c>
      <c r="O51" s="615">
        <v>5878</v>
      </c>
      <c r="P51" s="611">
        <v>592</v>
      </c>
      <c r="Q51" s="431">
        <f>152692.5+78009+19211+5878</f>
        <v>255790.5</v>
      </c>
      <c r="R51" s="425">
        <f>12107+6230+2152+592</f>
        <v>21081</v>
      </c>
      <c r="S51" s="266">
        <v>40914</v>
      </c>
    </row>
    <row r="52" spans="1:19" ht="10.5" customHeight="1">
      <c r="A52" s="251"/>
      <c r="B52" s="251"/>
      <c r="C52" s="235"/>
      <c r="D52" s="251"/>
      <c r="E52" s="236"/>
      <c r="F52" s="239"/>
      <c r="G52" s="626" t="s">
        <v>137</v>
      </c>
      <c r="H52" s="65" t="s">
        <v>140</v>
      </c>
      <c r="I52" s="65" t="s">
        <v>138</v>
      </c>
      <c r="J52" s="65" t="s">
        <v>139</v>
      </c>
      <c r="K52" s="268">
        <v>40893</v>
      </c>
      <c r="L52" s="68" t="s">
        <v>53</v>
      </c>
      <c r="M52" s="325">
        <v>28</v>
      </c>
      <c r="N52" s="353">
        <v>5</v>
      </c>
      <c r="O52" s="392">
        <v>4853.5</v>
      </c>
      <c r="P52" s="612">
        <v>575</v>
      </c>
      <c r="Q52" s="354">
        <f>152692.5+78009+19211+5878+4853.5</f>
        <v>260644</v>
      </c>
      <c r="R52" s="355">
        <f>12107+6230+2152+592+575</f>
        <v>21656</v>
      </c>
      <c r="S52" s="266">
        <v>40921</v>
      </c>
    </row>
    <row r="53" spans="1:19" ht="10.5" customHeight="1">
      <c r="A53" s="540"/>
      <c r="B53" s="540"/>
      <c r="C53" s="470"/>
      <c r="D53" s="540"/>
      <c r="E53" s="543"/>
      <c r="F53" s="471"/>
      <c r="G53" s="626" t="s">
        <v>137</v>
      </c>
      <c r="H53" s="65" t="s">
        <v>140</v>
      </c>
      <c r="I53" s="65" t="s">
        <v>138</v>
      </c>
      <c r="J53" s="65" t="s">
        <v>139</v>
      </c>
      <c r="K53" s="268">
        <v>40893</v>
      </c>
      <c r="L53" s="68" t="s">
        <v>53</v>
      </c>
      <c r="M53" s="325">
        <v>28</v>
      </c>
      <c r="N53" s="510">
        <v>6</v>
      </c>
      <c r="O53" s="392">
        <v>4764</v>
      </c>
      <c r="P53" s="612">
        <v>535</v>
      </c>
      <c r="Q53" s="333">
        <f>152692.5+78009+19211+5878+4853.5+4764</f>
        <v>265408</v>
      </c>
      <c r="R53" s="334">
        <f>12107+6230+2152+592+575+535</f>
        <v>22191</v>
      </c>
      <c r="S53" s="266">
        <v>40928</v>
      </c>
    </row>
    <row r="54" spans="1:19" ht="10.5" customHeight="1">
      <c r="A54" s="245" t="s">
        <v>223</v>
      </c>
      <c r="B54" s="248"/>
      <c r="C54" s="248"/>
      <c r="D54" s="242" t="s">
        <v>292</v>
      </c>
      <c r="E54" s="246" t="s">
        <v>55</v>
      </c>
      <c r="F54" s="234"/>
      <c r="G54" s="627" t="s">
        <v>49</v>
      </c>
      <c r="H54" s="66" t="s">
        <v>92</v>
      </c>
      <c r="I54" s="66" t="s">
        <v>94</v>
      </c>
      <c r="J54" s="69" t="s">
        <v>59</v>
      </c>
      <c r="K54" s="268">
        <v>40774</v>
      </c>
      <c r="L54" s="68" t="s">
        <v>12</v>
      </c>
      <c r="M54" s="325">
        <v>123</v>
      </c>
      <c r="N54" s="326">
        <v>20</v>
      </c>
      <c r="O54" s="386">
        <v>2279</v>
      </c>
      <c r="P54" s="628">
        <v>487</v>
      </c>
      <c r="Q54" s="335">
        <v>7024385</v>
      </c>
      <c r="R54" s="336">
        <v>688120</v>
      </c>
      <c r="S54" s="421">
        <v>40907</v>
      </c>
    </row>
    <row r="55" spans="1:19" ht="10.5" customHeight="1">
      <c r="A55" s="482" t="s">
        <v>223</v>
      </c>
      <c r="B55" s="476"/>
      <c r="C55" s="470"/>
      <c r="D55" s="481" t="s">
        <v>292</v>
      </c>
      <c r="E55" s="475" t="s">
        <v>55</v>
      </c>
      <c r="F55" s="471"/>
      <c r="G55" s="627" t="s">
        <v>49</v>
      </c>
      <c r="H55" s="66" t="s">
        <v>92</v>
      </c>
      <c r="I55" s="66" t="s">
        <v>94</v>
      </c>
      <c r="J55" s="69" t="s">
        <v>59</v>
      </c>
      <c r="K55" s="268">
        <v>40774</v>
      </c>
      <c r="L55" s="68" t="s">
        <v>12</v>
      </c>
      <c r="M55" s="325">
        <v>123</v>
      </c>
      <c r="N55" s="326">
        <v>23</v>
      </c>
      <c r="O55" s="392">
        <v>1197</v>
      </c>
      <c r="P55" s="612">
        <v>189</v>
      </c>
      <c r="Q55" s="333">
        <v>7027231</v>
      </c>
      <c r="R55" s="334">
        <v>688631</v>
      </c>
      <c r="S55" s="266">
        <v>40928</v>
      </c>
    </row>
    <row r="56" spans="1:19" ht="10.5" customHeight="1">
      <c r="A56" s="245" t="s">
        <v>223</v>
      </c>
      <c r="B56" s="248"/>
      <c r="C56" s="235"/>
      <c r="D56" s="242" t="s">
        <v>292</v>
      </c>
      <c r="E56" s="246" t="s">
        <v>55</v>
      </c>
      <c r="F56" s="239"/>
      <c r="G56" s="627" t="s">
        <v>49</v>
      </c>
      <c r="H56" s="66" t="s">
        <v>92</v>
      </c>
      <c r="I56" s="66" t="s">
        <v>94</v>
      </c>
      <c r="J56" s="69" t="s">
        <v>59</v>
      </c>
      <c r="K56" s="268">
        <v>40774</v>
      </c>
      <c r="L56" s="68" t="s">
        <v>12</v>
      </c>
      <c r="M56" s="309">
        <v>123</v>
      </c>
      <c r="N56" s="263">
        <v>21</v>
      </c>
      <c r="O56" s="610">
        <v>784</v>
      </c>
      <c r="P56" s="611">
        <v>153</v>
      </c>
      <c r="Q56" s="424">
        <v>7025169</v>
      </c>
      <c r="R56" s="425">
        <v>688273</v>
      </c>
      <c r="S56" s="266">
        <v>40914</v>
      </c>
    </row>
    <row r="57" spans="1:19" ht="10.5" customHeight="1">
      <c r="A57" s="245" t="s">
        <v>223</v>
      </c>
      <c r="B57" s="248"/>
      <c r="C57" s="235"/>
      <c r="D57" s="242" t="s">
        <v>292</v>
      </c>
      <c r="E57" s="246" t="s">
        <v>55</v>
      </c>
      <c r="F57" s="239"/>
      <c r="G57" s="627" t="s">
        <v>49</v>
      </c>
      <c r="H57" s="66" t="s">
        <v>92</v>
      </c>
      <c r="I57" s="66" t="s">
        <v>94</v>
      </c>
      <c r="J57" s="69" t="s">
        <v>59</v>
      </c>
      <c r="K57" s="268">
        <v>40774</v>
      </c>
      <c r="L57" s="68" t="s">
        <v>12</v>
      </c>
      <c r="M57" s="325">
        <v>123</v>
      </c>
      <c r="N57" s="326">
        <v>22</v>
      </c>
      <c r="O57" s="392">
        <v>564</v>
      </c>
      <c r="P57" s="612">
        <v>117</v>
      </c>
      <c r="Q57" s="335">
        <v>7026034</v>
      </c>
      <c r="R57" s="336">
        <v>688442</v>
      </c>
      <c r="S57" s="266">
        <v>40921</v>
      </c>
    </row>
    <row r="58" spans="1:19" ht="10.5" customHeight="1">
      <c r="A58" s="482" t="s">
        <v>223</v>
      </c>
      <c r="B58" s="480"/>
      <c r="C58" s="470"/>
      <c r="D58" s="481" t="s">
        <v>292</v>
      </c>
      <c r="E58" s="475" t="s">
        <v>55</v>
      </c>
      <c r="F58" s="478"/>
      <c r="G58" s="617" t="s">
        <v>175</v>
      </c>
      <c r="H58" s="70" t="s">
        <v>187</v>
      </c>
      <c r="I58" s="70" t="s">
        <v>138</v>
      </c>
      <c r="J58" s="70" t="s">
        <v>178</v>
      </c>
      <c r="K58" s="268">
        <v>39682</v>
      </c>
      <c r="L58" s="68" t="s">
        <v>53</v>
      </c>
      <c r="M58" s="352">
        <v>60</v>
      </c>
      <c r="N58" s="510">
        <v>24</v>
      </c>
      <c r="O58" s="392">
        <v>1802</v>
      </c>
      <c r="P58" s="612">
        <v>360</v>
      </c>
      <c r="Q58" s="333">
        <f>111737+37434.5+11042+9412+0.5+6921+5282+0.5+1449+105+269+162+117+442+7259+305+4320+1922+1799+1799+135+1799+3598+1201+1802</f>
        <v>210312.5</v>
      </c>
      <c r="R58" s="334">
        <f>13345+4357+1377+1694+1346+1248+225+18+64+40+37+108+2420+61+783+385+300+300+15+300+600+240+360</f>
        <v>29623</v>
      </c>
      <c r="S58" s="266">
        <v>40928</v>
      </c>
    </row>
    <row r="59" spans="1:19" ht="10.5" customHeight="1">
      <c r="A59" s="245" t="s">
        <v>223</v>
      </c>
      <c r="B59" s="259"/>
      <c r="C59" s="248"/>
      <c r="D59" s="242" t="s">
        <v>292</v>
      </c>
      <c r="E59" s="246" t="s">
        <v>55</v>
      </c>
      <c r="F59" s="308"/>
      <c r="G59" s="617" t="s">
        <v>175</v>
      </c>
      <c r="H59" s="70" t="s">
        <v>187</v>
      </c>
      <c r="I59" s="70" t="s">
        <v>138</v>
      </c>
      <c r="J59" s="70" t="s">
        <v>178</v>
      </c>
      <c r="K59" s="268">
        <v>39682</v>
      </c>
      <c r="L59" s="68" t="s">
        <v>53</v>
      </c>
      <c r="M59" s="352">
        <v>60</v>
      </c>
      <c r="N59" s="353">
        <v>23</v>
      </c>
      <c r="O59" s="389">
        <v>1201</v>
      </c>
      <c r="P59" s="614">
        <v>240</v>
      </c>
      <c r="Q59" s="354">
        <f>111737+37434.5+11042+9412+0.5+6921+5282+0.5+1449+105+269+162+117+442+7259+305+4320+1922+1799+1799+135+1799+3598+1201</f>
        <v>208510.5</v>
      </c>
      <c r="R59" s="355">
        <f>13345+4357+1377+1694+1346+1248+225+18+64+40+37+108+2420+61+783+385+300+300+15+300+600+240</f>
        <v>29263</v>
      </c>
      <c r="S59" s="421">
        <v>40907</v>
      </c>
    </row>
    <row r="60" spans="1:19" ht="10.5" customHeight="1">
      <c r="A60" s="235"/>
      <c r="B60" s="235"/>
      <c r="C60" s="235"/>
      <c r="D60" s="235"/>
      <c r="E60" s="239"/>
      <c r="F60" s="237" t="s">
        <v>54</v>
      </c>
      <c r="G60" s="613" t="s">
        <v>77</v>
      </c>
      <c r="H60" s="68" t="s">
        <v>188</v>
      </c>
      <c r="I60" s="68"/>
      <c r="J60" s="68" t="s">
        <v>173</v>
      </c>
      <c r="K60" s="268">
        <v>40865</v>
      </c>
      <c r="L60" s="68" t="s">
        <v>52</v>
      </c>
      <c r="M60" s="311">
        <v>64</v>
      </c>
      <c r="N60" s="264">
        <v>8</v>
      </c>
      <c r="O60" s="629">
        <v>1985</v>
      </c>
      <c r="P60" s="630">
        <v>352</v>
      </c>
      <c r="Q60" s="447">
        <f>256046+137037.5+20115+5099+3542+3484.5+1302+1985</f>
        <v>428611</v>
      </c>
      <c r="R60" s="448">
        <f>25390+13650+2140+705+587+707+246+352</f>
        <v>43777</v>
      </c>
      <c r="S60" s="266">
        <v>40914</v>
      </c>
    </row>
    <row r="61" spans="1:19" ht="10.5" customHeight="1">
      <c r="A61" s="248"/>
      <c r="B61" s="248"/>
      <c r="C61" s="248"/>
      <c r="D61" s="248"/>
      <c r="E61" s="247"/>
      <c r="F61" s="237" t="s">
        <v>54</v>
      </c>
      <c r="G61" s="613" t="s">
        <v>77</v>
      </c>
      <c r="H61" s="68" t="s">
        <v>188</v>
      </c>
      <c r="I61" s="68"/>
      <c r="J61" s="68" t="s">
        <v>173</v>
      </c>
      <c r="K61" s="268">
        <v>40865</v>
      </c>
      <c r="L61" s="68" t="s">
        <v>52</v>
      </c>
      <c r="M61" s="356">
        <v>64</v>
      </c>
      <c r="N61" s="344">
        <v>7</v>
      </c>
      <c r="O61" s="631">
        <v>1302</v>
      </c>
      <c r="P61" s="632">
        <v>246</v>
      </c>
      <c r="Q61" s="330">
        <f>256046+137037.5+20115+5099+3542+3484.5+1302</f>
        <v>426626</v>
      </c>
      <c r="R61" s="334">
        <f>25390+13650+2140+705+587+707+246</f>
        <v>43425</v>
      </c>
      <c r="S61" s="421">
        <v>40907</v>
      </c>
    </row>
    <row r="62" spans="1:19" ht="10.5" customHeight="1">
      <c r="A62" s="470"/>
      <c r="B62" s="470"/>
      <c r="C62" s="470"/>
      <c r="D62" s="470"/>
      <c r="E62" s="471"/>
      <c r="F62" s="474" t="s">
        <v>54</v>
      </c>
      <c r="G62" s="613" t="s">
        <v>77</v>
      </c>
      <c r="H62" s="68" t="s">
        <v>188</v>
      </c>
      <c r="I62" s="68"/>
      <c r="J62" s="68" t="s">
        <v>173</v>
      </c>
      <c r="K62" s="268">
        <v>40865</v>
      </c>
      <c r="L62" s="68" t="s">
        <v>52</v>
      </c>
      <c r="M62" s="356">
        <v>64</v>
      </c>
      <c r="N62" s="344">
        <v>10</v>
      </c>
      <c r="O62" s="631">
        <v>659</v>
      </c>
      <c r="P62" s="632">
        <v>92</v>
      </c>
      <c r="Q62" s="330">
        <f>256046+137037.5+20115+5099+3542+3484.5+1302+1985+195+659</f>
        <v>429465</v>
      </c>
      <c r="R62" s="334">
        <f>25390+13650+2140+705+587+707+246+352+31+92</f>
        <v>43900</v>
      </c>
      <c r="S62" s="266">
        <v>40928</v>
      </c>
    </row>
    <row r="63" spans="1:19" ht="10.5" customHeight="1">
      <c r="A63" s="235"/>
      <c r="B63" s="235"/>
      <c r="C63" s="235"/>
      <c r="D63" s="235"/>
      <c r="E63" s="239"/>
      <c r="F63" s="237" t="s">
        <v>54</v>
      </c>
      <c r="G63" s="613" t="s">
        <v>77</v>
      </c>
      <c r="H63" s="68" t="s">
        <v>188</v>
      </c>
      <c r="I63" s="68"/>
      <c r="J63" s="68" t="s">
        <v>173</v>
      </c>
      <c r="K63" s="268">
        <v>40865</v>
      </c>
      <c r="L63" s="68" t="s">
        <v>52</v>
      </c>
      <c r="M63" s="356">
        <v>64</v>
      </c>
      <c r="N63" s="344">
        <v>9</v>
      </c>
      <c r="O63" s="394">
        <v>195</v>
      </c>
      <c r="P63" s="633">
        <v>31</v>
      </c>
      <c r="Q63" s="349">
        <f>256046+137037.5+20115+5099+3542+3484.5+1302+1985+195</f>
        <v>428806</v>
      </c>
      <c r="R63" s="334">
        <f>25390+13650+2140+705+587+707+246+352+31</f>
        <v>43808</v>
      </c>
      <c r="S63" s="266">
        <v>40921</v>
      </c>
    </row>
    <row r="64" spans="1:19" ht="10.5" customHeight="1">
      <c r="A64" s="482" t="s">
        <v>223</v>
      </c>
      <c r="B64" s="470"/>
      <c r="C64" s="540"/>
      <c r="D64" s="481" t="s">
        <v>292</v>
      </c>
      <c r="E64" s="471"/>
      <c r="F64" s="472"/>
      <c r="G64" s="604" t="s">
        <v>544</v>
      </c>
      <c r="H64" s="67" t="s">
        <v>467</v>
      </c>
      <c r="I64" s="67" t="s">
        <v>89</v>
      </c>
      <c r="J64" s="67" t="s">
        <v>475</v>
      </c>
      <c r="K64" s="268">
        <v>40522</v>
      </c>
      <c r="L64" s="68" t="s">
        <v>68</v>
      </c>
      <c r="M64" s="325">
        <v>127</v>
      </c>
      <c r="N64" s="432">
        <v>23</v>
      </c>
      <c r="O64" s="388">
        <v>1188</v>
      </c>
      <c r="P64" s="605">
        <v>297</v>
      </c>
      <c r="Q64" s="343">
        <f>1048675+809166.5+457718.5+70165.5+7102+12164+8619.5+11777.5+6559.5+3338.5+10420.5+3303+3205+2076+1722.5+314+264+550+5455+5583.5+1818.5+950.5+1188</f>
        <v>2472137</v>
      </c>
      <c r="R64" s="348">
        <f>92481+73795+43350+8841+1153+2869+1615+2831+1620+630+2477+726+513+481+318+38+33+104+1359+1394+447+238+297</f>
        <v>237610</v>
      </c>
      <c r="S64" s="266">
        <v>40928</v>
      </c>
    </row>
    <row r="65" spans="1:19" ht="10.5" customHeight="1">
      <c r="A65" s="248"/>
      <c r="B65" s="254">
        <v>3</v>
      </c>
      <c r="C65" s="248"/>
      <c r="D65" s="235"/>
      <c r="E65" s="247"/>
      <c r="F65" s="234"/>
      <c r="G65" s="608" t="s">
        <v>202</v>
      </c>
      <c r="H65" s="65" t="s">
        <v>210</v>
      </c>
      <c r="I65" s="72" t="s">
        <v>211</v>
      </c>
      <c r="J65" s="72" t="s">
        <v>202</v>
      </c>
      <c r="K65" s="268">
        <v>40837</v>
      </c>
      <c r="L65" s="68" t="s">
        <v>12</v>
      </c>
      <c r="M65" s="325">
        <v>130</v>
      </c>
      <c r="N65" s="326">
        <v>10</v>
      </c>
      <c r="O65" s="386">
        <v>983</v>
      </c>
      <c r="P65" s="628">
        <v>141</v>
      </c>
      <c r="Q65" s="335">
        <v>893705</v>
      </c>
      <c r="R65" s="336">
        <v>90187</v>
      </c>
      <c r="S65" s="421">
        <v>40907</v>
      </c>
    </row>
    <row r="66" spans="1:19" ht="10.5" customHeight="1">
      <c r="A66" s="245" t="s">
        <v>223</v>
      </c>
      <c r="B66" s="254">
        <v>3</v>
      </c>
      <c r="C66" s="241">
        <v>2</v>
      </c>
      <c r="D66" s="235"/>
      <c r="E66" s="235"/>
      <c r="F66" s="239"/>
      <c r="G66" s="608" t="s">
        <v>386</v>
      </c>
      <c r="H66" s="65" t="s">
        <v>91</v>
      </c>
      <c r="I66" s="72" t="s">
        <v>94</v>
      </c>
      <c r="J66" s="72" t="s">
        <v>389</v>
      </c>
      <c r="K66" s="268">
        <v>40802</v>
      </c>
      <c r="L66" s="68" t="s">
        <v>12</v>
      </c>
      <c r="M66" s="325">
        <v>139</v>
      </c>
      <c r="N66" s="326">
        <v>18</v>
      </c>
      <c r="O66" s="392">
        <v>1197</v>
      </c>
      <c r="P66" s="612">
        <v>189</v>
      </c>
      <c r="Q66" s="335">
        <v>867262</v>
      </c>
      <c r="R66" s="336">
        <v>93571</v>
      </c>
      <c r="S66" s="266">
        <v>40921</v>
      </c>
    </row>
    <row r="67" spans="1:19" ht="10.5" customHeight="1">
      <c r="A67" s="235"/>
      <c r="B67" s="235"/>
      <c r="C67" s="248"/>
      <c r="D67" s="235"/>
      <c r="E67" s="247"/>
      <c r="F67" s="247"/>
      <c r="G67" s="618" t="s">
        <v>251</v>
      </c>
      <c r="H67" s="68" t="s">
        <v>252</v>
      </c>
      <c r="I67" s="68" t="s">
        <v>248</v>
      </c>
      <c r="J67" s="68" t="s">
        <v>246</v>
      </c>
      <c r="K67" s="268">
        <v>40564</v>
      </c>
      <c r="L67" s="68" t="s">
        <v>13</v>
      </c>
      <c r="M67" s="434">
        <v>3</v>
      </c>
      <c r="N67" s="326">
        <v>6</v>
      </c>
      <c r="O67" s="392">
        <v>594</v>
      </c>
      <c r="P67" s="612">
        <v>118</v>
      </c>
      <c r="Q67" s="333">
        <v>13140.5</v>
      </c>
      <c r="R67" s="334">
        <v>1009</v>
      </c>
      <c r="S67" s="421">
        <v>40907</v>
      </c>
    </row>
    <row r="68" spans="1:19" ht="10.5" customHeight="1">
      <c r="A68" s="248"/>
      <c r="B68" s="248"/>
      <c r="C68" s="248"/>
      <c r="D68" s="248"/>
      <c r="E68" s="451"/>
      <c r="F68" s="237" t="s">
        <v>54</v>
      </c>
      <c r="G68" s="619" t="s">
        <v>104</v>
      </c>
      <c r="H68" s="65" t="s">
        <v>105</v>
      </c>
      <c r="I68" s="68"/>
      <c r="J68" s="68" t="s">
        <v>104</v>
      </c>
      <c r="K68" s="269">
        <v>40872</v>
      </c>
      <c r="L68" s="68" t="s">
        <v>10</v>
      </c>
      <c r="M68" s="325">
        <v>277</v>
      </c>
      <c r="N68" s="344">
        <v>6</v>
      </c>
      <c r="O68" s="388">
        <v>441941</v>
      </c>
      <c r="P68" s="605">
        <v>49345</v>
      </c>
      <c r="Q68" s="343">
        <v>10697295</v>
      </c>
      <c r="R68" s="348">
        <v>1139680</v>
      </c>
      <c r="S68" s="421">
        <v>40907</v>
      </c>
    </row>
    <row r="69" spans="1:19" ht="10.5" customHeight="1">
      <c r="A69" s="235"/>
      <c r="B69" s="235"/>
      <c r="C69" s="235"/>
      <c r="D69" s="235"/>
      <c r="E69" s="236"/>
      <c r="F69" s="237" t="s">
        <v>54</v>
      </c>
      <c r="G69" s="634" t="s">
        <v>104</v>
      </c>
      <c r="H69" s="65" t="s">
        <v>105</v>
      </c>
      <c r="I69" s="68"/>
      <c r="J69" s="68" t="s">
        <v>104</v>
      </c>
      <c r="K69" s="269">
        <v>40872</v>
      </c>
      <c r="L69" s="68" t="s">
        <v>10</v>
      </c>
      <c r="M69" s="309">
        <v>277</v>
      </c>
      <c r="N69" s="264">
        <v>7</v>
      </c>
      <c r="O69" s="606">
        <f>129529+680</f>
        <v>130209</v>
      </c>
      <c r="P69" s="607">
        <f>15613+55</f>
        <v>15668</v>
      </c>
      <c r="Q69" s="419">
        <f>10697295+129529+680</f>
        <v>10827504</v>
      </c>
      <c r="R69" s="420">
        <f>1139680+15613+55</f>
        <v>1155348</v>
      </c>
      <c r="S69" s="266">
        <v>40914</v>
      </c>
    </row>
    <row r="70" spans="1:19" ht="10.5" customHeight="1">
      <c r="A70" s="235"/>
      <c r="B70" s="235"/>
      <c r="C70" s="235"/>
      <c r="D70" s="235"/>
      <c r="E70" s="236"/>
      <c r="F70" s="237" t="s">
        <v>54</v>
      </c>
      <c r="G70" s="634" t="s">
        <v>104</v>
      </c>
      <c r="H70" s="65" t="s">
        <v>105</v>
      </c>
      <c r="I70" s="68"/>
      <c r="J70" s="68" t="s">
        <v>104</v>
      </c>
      <c r="K70" s="269">
        <v>40872</v>
      </c>
      <c r="L70" s="68" t="s">
        <v>10</v>
      </c>
      <c r="M70" s="325">
        <v>277</v>
      </c>
      <c r="N70" s="344">
        <v>8</v>
      </c>
      <c r="O70" s="388">
        <v>64482</v>
      </c>
      <c r="P70" s="605">
        <v>7909</v>
      </c>
      <c r="Q70" s="343">
        <v>10891986</v>
      </c>
      <c r="R70" s="348">
        <v>1163257</v>
      </c>
      <c r="S70" s="266">
        <v>40921</v>
      </c>
    </row>
    <row r="71" spans="1:19" ht="10.5" customHeight="1">
      <c r="A71" s="470"/>
      <c r="B71" s="470"/>
      <c r="C71" s="470"/>
      <c r="D71" s="470"/>
      <c r="E71" s="543"/>
      <c r="F71" s="474" t="s">
        <v>54</v>
      </c>
      <c r="G71" s="634" t="s">
        <v>104</v>
      </c>
      <c r="H71" s="65" t="s">
        <v>105</v>
      </c>
      <c r="I71" s="68"/>
      <c r="J71" s="68" t="s">
        <v>104</v>
      </c>
      <c r="K71" s="269">
        <v>40872</v>
      </c>
      <c r="L71" s="68" t="s">
        <v>10</v>
      </c>
      <c r="M71" s="325">
        <v>277</v>
      </c>
      <c r="N71" s="344">
        <v>9</v>
      </c>
      <c r="O71" s="388">
        <v>39245</v>
      </c>
      <c r="P71" s="605">
        <v>5888</v>
      </c>
      <c r="Q71" s="343">
        <v>10931231</v>
      </c>
      <c r="R71" s="348">
        <v>1169145</v>
      </c>
      <c r="S71" s="266">
        <v>40928</v>
      </c>
    </row>
    <row r="72" spans="1:19" ht="10.5" customHeight="1">
      <c r="A72" s="245" t="s">
        <v>223</v>
      </c>
      <c r="B72" s="235"/>
      <c r="C72" s="235"/>
      <c r="D72" s="235"/>
      <c r="E72" s="239"/>
      <c r="F72" s="239"/>
      <c r="G72" s="617" t="s">
        <v>344</v>
      </c>
      <c r="H72" s="65" t="s">
        <v>126</v>
      </c>
      <c r="I72" s="70" t="s">
        <v>89</v>
      </c>
      <c r="J72" s="70" t="s">
        <v>351</v>
      </c>
      <c r="K72" s="269">
        <v>40914</v>
      </c>
      <c r="L72" s="68" t="s">
        <v>68</v>
      </c>
      <c r="M72" s="452">
        <v>56</v>
      </c>
      <c r="N72" s="416">
        <v>1</v>
      </c>
      <c r="O72" s="606">
        <v>212792</v>
      </c>
      <c r="P72" s="607">
        <v>19942</v>
      </c>
      <c r="Q72" s="419">
        <f>212792</f>
        <v>212792</v>
      </c>
      <c r="R72" s="420">
        <f>19942</f>
        <v>19942</v>
      </c>
      <c r="S72" s="266">
        <v>40914</v>
      </c>
    </row>
    <row r="73" spans="1:19" ht="10.5" customHeight="1">
      <c r="A73" s="245" t="s">
        <v>223</v>
      </c>
      <c r="B73" s="235"/>
      <c r="C73" s="235"/>
      <c r="D73" s="235"/>
      <c r="E73" s="239"/>
      <c r="F73" s="239"/>
      <c r="G73" s="617" t="s">
        <v>344</v>
      </c>
      <c r="H73" s="65" t="s">
        <v>126</v>
      </c>
      <c r="I73" s="70" t="s">
        <v>89</v>
      </c>
      <c r="J73" s="70" t="s">
        <v>351</v>
      </c>
      <c r="K73" s="269">
        <v>40914</v>
      </c>
      <c r="L73" s="68" t="s">
        <v>68</v>
      </c>
      <c r="M73" s="325">
        <v>56</v>
      </c>
      <c r="N73" s="326">
        <v>2</v>
      </c>
      <c r="O73" s="388">
        <v>162247.5</v>
      </c>
      <c r="P73" s="605">
        <v>16768</v>
      </c>
      <c r="Q73" s="343">
        <f>212792+162247.5</f>
        <v>375039.5</v>
      </c>
      <c r="R73" s="348">
        <f>19942+16768</f>
        <v>36710</v>
      </c>
      <c r="S73" s="266">
        <v>40921</v>
      </c>
    </row>
    <row r="74" spans="1:19" ht="10.5" customHeight="1">
      <c r="A74" s="482" t="s">
        <v>223</v>
      </c>
      <c r="B74" s="480"/>
      <c r="C74" s="470"/>
      <c r="D74" s="480"/>
      <c r="E74" s="471"/>
      <c r="F74" s="471"/>
      <c r="G74" s="617" t="s">
        <v>336</v>
      </c>
      <c r="H74" s="70" t="s">
        <v>350</v>
      </c>
      <c r="I74" s="65" t="s">
        <v>138</v>
      </c>
      <c r="J74" s="70" t="s">
        <v>340</v>
      </c>
      <c r="K74" s="268">
        <v>39472</v>
      </c>
      <c r="L74" s="68" t="s">
        <v>53</v>
      </c>
      <c r="M74" s="352">
        <v>59</v>
      </c>
      <c r="N74" s="510">
        <v>42</v>
      </c>
      <c r="O74" s="392">
        <v>1802</v>
      </c>
      <c r="P74" s="612">
        <v>360</v>
      </c>
      <c r="Q74" s="333">
        <f>395290.5+262822+75939+23709.5+4083+1327+9321+1445+1267+2173+4575+201+1748+3343+728+28+948+1329+163+182+173+15521.5+171+40+110+75+183.5+127+124.5+1976+312+180+12+2398+1799+1799+1799+3598+1201+1802</f>
        <v>824023.5</v>
      </c>
      <c r="R74" s="334">
        <f>47426+32442+9866+4010+887+225+2185+263+226+460+1077+33+367+887+230+4+139+355+32+35+32+3859+49+8+22+15+68+46+45+659+52+30+2+399+300+300+300+600+240+360</f>
        <v>108535</v>
      </c>
      <c r="S74" s="266">
        <v>40928</v>
      </c>
    </row>
    <row r="75" spans="1:19" ht="10.5" customHeight="1">
      <c r="A75" s="245" t="s">
        <v>223</v>
      </c>
      <c r="B75" s="250"/>
      <c r="C75" s="235"/>
      <c r="D75" s="250"/>
      <c r="E75" s="239"/>
      <c r="F75" s="239"/>
      <c r="G75" s="617" t="s">
        <v>336</v>
      </c>
      <c r="H75" s="70" t="s">
        <v>350</v>
      </c>
      <c r="I75" s="65" t="s">
        <v>138</v>
      </c>
      <c r="J75" s="70" t="s">
        <v>340</v>
      </c>
      <c r="K75" s="268">
        <v>39472</v>
      </c>
      <c r="L75" s="68" t="s">
        <v>53</v>
      </c>
      <c r="M75" s="312">
        <v>59</v>
      </c>
      <c r="N75" s="429">
        <v>41</v>
      </c>
      <c r="O75" s="615">
        <v>1201</v>
      </c>
      <c r="P75" s="611">
        <v>240</v>
      </c>
      <c r="Q75" s="431">
        <f>395290.5+262822+75939+23709.5+4083+1327+9321+1445+1267+2173+4575+201+1748+3343+728+28+948+1329+163+182+173+15521.5+171+40+110+75+183.5+127+124.5+1976+312+180+12+2398+1799+1799+1799+3598+1201</f>
        <v>822221.5</v>
      </c>
      <c r="R75" s="425">
        <f>47426+32442+9866+4010+887+225+2185+263+226+460+1077+33+367+887+230+4+139+355+32+35+32+3859+49+8+22+15+68+46+45+659+52+30+2+399+300+300+300+600+240</f>
        <v>108175</v>
      </c>
      <c r="S75" s="266">
        <v>40914</v>
      </c>
    </row>
    <row r="76" spans="1:19" ht="10.5" customHeight="1">
      <c r="A76" s="235"/>
      <c r="B76" s="235"/>
      <c r="C76" s="235"/>
      <c r="D76" s="235"/>
      <c r="E76" s="239"/>
      <c r="F76" s="247"/>
      <c r="G76" s="604" t="s">
        <v>401</v>
      </c>
      <c r="H76" s="67" t="s">
        <v>404</v>
      </c>
      <c r="I76" s="67" t="s">
        <v>248</v>
      </c>
      <c r="J76" s="67" t="s">
        <v>402</v>
      </c>
      <c r="K76" s="268">
        <v>40746</v>
      </c>
      <c r="L76" s="68" t="s">
        <v>68</v>
      </c>
      <c r="M76" s="325">
        <v>5</v>
      </c>
      <c r="N76" s="326">
        <v>15</v>
      </c>
      <c r="O76" s="388">
        <v>264</v>
      </c>
      <c r="P76" s="605">
        <v>44</v>
      </c>
      <c r="Q76" s="343">
        <f>15287.5+10909.5+3453.5+1267.5+1495+5972+1476+196+990+2893+1323+722+1782+684+264</f>
        <v>48715</v>
      </c>
      <c r="R76" s="348">
        <f>1370+1093+336+155+192+663+166+28+134+385+183+184+446+80+44</f>
        <v>5459</v>
      </c>
      <c r="S76" s="266">
        <v>40921</v>
      </c>
    </row>
    <row r="77" spans="1:19" ht="10.5" customHeight="1">
      <c r="A77" s="441"/>
      <c r="B77" s="441"/>
      <c r="C77" s="248"/>
      <c r="D77" s="441"/>
      <c r="E77" s="453"/>
      <c r="F77" s="237" t="s">
        <v>54</v>
      </c>
      <c r="G77" s="616" t="s">
        <v>107</v>
      </c>
      <c r="H77" s="67" t="s">
        <v>123</v>
      </c>
      <c r="I77" s="69"/>
      <c r="J77" s="67" t="s">
        <v>107</v>
      </c>
      <c r="K77" s="268">
        <v>40879</v>
      </c>
      <c r="L77" s="68" t="s">
        <v>68</v>
      </c>
      <c r="M77" s="325">
        <v>202</v>
      </c>
      <c r="N77" s="326">
        <v>5</v>
      </c>
      <c r="O77" s="388">
        <v>299977</v>
      </c>
      <c r="P77" s="605">
        <v>39696</v>
      </c>
      <c r="Q77" s="343">
        <f>1080241.5+1088121+871543+502064+299977</f>
        <v>3841946.5</v>
      </c>
      <c r="R77" s="348">
        <f>121812+123965+100674+61096+39696</f>
        <v>447243</v>
      </c>
      <c r="S77" s="421">
        <v>40907</v>
      </c>
    </row>
    <row r="78" spans="1:19" ht="10.5" customHeight="1">
      <c r="A78" s="251"/>
      <c r="B78" s="251"/>
      <c r="C78" s="235"/>
      <c r="D78" s="251"/>
      <c r="E78" s="252"/>
      <c r="F78" s="237" t="s">
        <v>54</v>
      </c>
      <c r="G78" s="616" t="s">
        <v>107</v>
      </c>
      <c r="H78" s="67" t="s">
        <v>123</v>
      </c>
      <c r="I78" s="69"/>
      <c r="J78" s="67" t="s">
        <v>107</v>
      </c>
      <c r="K78" s="268">
        <v>40879</v>
      </c>
      <c r="L78" s="68" t="s">
        <v>68</v>
      </c>
      <c r="M78" s="309">
        <v>202</v>
      </c>
      <c r="N78" s="416">
        <v>6</v>
      </c>
      <c r="O78" s="606">
        <v>131358.5</v>
      </c>
      <c r="P78" s="607">
        <v>19116</v>
      </c>
      <c r="Q78" s="419">
        <f>1080241.5+1088121+871543+502064+300294.5+131358.5</f>
        <v>3973622.5</v>
      </c>
      <c r="R78" s="420">
        <f>121812+123965+100674+61096+39726+19116</f>
        <v>466389</v>
      </c>
      <c r="S78" s="266">
        <v>40914</v>
      </c>
    </row>
    <row r="79" spans="1:19" ht="10.5" customHeight="1">
      <c r="A79" s="251"/>
      <c r="B79" s="251"/>
      <c r="C79" s="235"/>
      <c r="D79" s="251"/>
      <c r="E79" s="252"/>
      <c r="F79" s="237" t="s">
        <v>54</v>
      </c>
      <c r="G79" s="616" t="s">
        <v>107</v>
      </c>
      <c r="H79" s="67" t="s">
        <v>123</v>
      </c>
      <c r="I79" s="69"/>
      <c r="J79" s="67" t="s">
        <v>107</v>
      </c>
      <c r="K79" s="268">
        <v>40879</v>
      </c>
      <c r="L79" s="68" t="s">
        <v>68</v>
      </c>
      <c r="M79" s="325">
        <v>202</v>
      </c>
      <c r="N79" s="326">
        <v>7</v>
      </c>
      <c r="O79" s="388">
        <v>96969.5</v>
      </c>
      <c r="P79" s="605">
        <v>14898</v>
      </c>
      <c r="Q79" s="343">
        <f>1080241.5+1088121+871543+502064+300294.5+131358.5+96969.5</f>
        <v>4070592</v>
      </c>
      <c r="R79" s="348">
        <f>121812+123965+100674+61096+39726+19116+14898</f>
        <v>481287</v>
      </c>
      <c r="S79" s="266">
        <v>40921</v>
      </c>
    </row>
    <row r="80" spans="1:19" ht="10.5" customHeight="1">
      <c r="A80" s="540"/>
      <c r="B80" s="540"/>
      <c r="C80" s="470"/>
      <c r="D80" s="540"/>
      <c r="E80" s="545"/>
      <c r="F80" s="474" t="s">
        <v>54</v>
      </c>
      <c r="G80" s="616" t="s">
        <v>107</v>
      </c>
      <c r="H80" s="67" t="s">
        <v>123</v>
      </c>
      <c r="I80" s="69"/>
      <c r="J80" s="67" t="s">
        <v>107</v>
      </c>
      <c r="K80" s="268">
        <v>40879</v>
      </c>
      <c r="L80" s="68" t="s">
        <v>68</v>
      </c>
      <c r="M80" s="325">
        <v>202</v>
      </c>
      <c r="N80" s="326">
        <v>8</v>
      </c>
      <c r="O80" s="388">
        <v>68985</v>
      </c>
      <c r="P80" s="605">
        <v>10338</v>
      </c>
      <c r="Q80" s="343">
        <f>1080241.5+1088121+871543+502064+300294.5+131358.5+96969.5+68985</f>
        <v>4139577</v>
      </c>
      <c r="R80" s="348">
        <f>121812+123965+100674+61096+39726+19116+14898+10338</f>
        <v>491625</v>
      </c>
      <c r="S80" s="266">
        <v>40928</v>
      </c>
    </row>
    <row r="81" spans="1:19" ht="10.5" customHeight="1">
      <c r="A81" s="235"/>
      <c r="B81" s="235"/>
      <c r="C81" s="235"/>
      <c r="D81" s="235"/>
      <c r="E81" s="239"/>
      <c r="F81" s="239"/>
      <c r="G81" s="604" t="s">
        <v>271</v>
      </c>
      <c r="H81" s="65" t="s">
        <v>290</v>
      </c>
      <c r="I81" s="69" t="s">
        <v>79</v>
      </c>
      <c r="J81" s="67" t="s">
        <v>287</v>
      </c>
      <c r="K81" s="268">
        <v>40823</v>
      </c>
      <c r="L81" s="68" t="s">
        <v>68</v>
      </c>
      <c r="M81" s="325">
        <v>10</v>
      </c>
      <c r="N81" s="326">
        <v>12</v>
      </c>
      <c r="O81" s="388">
        <v>3784</v>
      </c>
      <c r="P81" s="605">
        <v>612</v>
      </c>
      <c r="Q81" s="343">
        <f>31458.5+18316.5+9973.5+2181+7429+3551+2891+512+313+372+806+3784</f>
        <v>81587.5</v>
      </c>
      <c r="R81" s="348">
        <f>2922+2132+1224+343+1097+635+770+85+39+50+137+612</f>
        <v>10046</v>
      </c>
      <c r="S81" s="266">
        <v>40921</v>
      </c>
    </row>
    <row r="82" spans="1:19" ht="10.5" customHeight="1">
      <c r="A82" s="470"/>
      <c r="B82" s="470"/>
      <c r="C82" s="470"/>
      <c r="D82" s="470"/>
      <c r="E82" s="471"/>
      <c r="F82" s="471"/>
      <c r="G82" s="604" t="s">
        <v>271</v>
      </c>
      <c r="H82" s="65" t="s">
        <v>290</v>
      </c>
      <c r="I82" s="69" t="s">
        <v>79</v>
      </c>
      <c r="J82" s="67" t="s">
        <v>287</v>
      </c>
      <c r="K82" s="268">
        <v>40823</v>
      </c>
      <c r="L82" s="68" t="s">
        <v>68</v>
      </c>
      <c r="M82" s="325">
        <v>10</v>
      </c>
      <c r="N82" s="326">
        <v>13</v>
      </c>
      <c r="O82" s="388">
        <v>1099</v>
      </c>
      <c r="P82" s="605">
        <v>158</v>
      </c>
      <c r="Q82" s="343">
        <f>31458.5+18316.5+9973.5+2181+7429+3551+2891+512+313+372+806+3784+1705</f>
        <v>83292.5</v>
      </c>
      <c r="R82" s="348">
        <f>2922+2132+1224+343+1097+635+770+85+39+50+137+612+248</f>
        <v>10294</v>
      </c>
      <c r="S82" s="266">
        <v>40928</v>
      </c>
    </row>
    <row r="83" spans="1:19" ht="10.5" customHeight="1">
      <c r="A83" s="235"/>
      <c r="B83" s="235"/>
      <c r="C83" s="235"/>
      <c r="D83" s="235"/>
      <c r="E83" s="239"/>
      <c r="F83" s="239"/>
      <c r="G83" s="604" t="s">
        <v>271</v>
      </c>
      <c r="H83" s="65" t="s">
        <v>290</v>
      </c>
      <c r="I83" s="69" t="s">
        <v>79</v>
      </c>
      <c r="J83" s="67" t="s">
        <v>287</v>
      </c>
      <c r="K83" s="268">
        <v>40823</v>
      </c>
      <c r="L83" s="68" t="s">
        <v>68</v>
      </c>
      <c r="M83" s="309">
        <v>10</v>
      </c>
      <c r="N83" s="263">
        <v>10</v>
      </c>
      <c r="O83" s="606">
        <v>806</v>
      </c>
      <c r="P83" s="607">
        <v>137</v>
      </c>
      <c r="Q83" s="419">
        <f>31458.5+18316.5+9973.5+2181+7429+3551+2891+512+313+372+806</f>
        <v>77803.5</v>
      </c>
      <c r="R83" s="420">
        <f>2922+2132+1224+343+1097+635+770+85+39+50+137</f>
        <v>9434</v>
      </c>
      <c r="S83" s="266">
        <v>40914</v>
      </c>
    </row>
    <row r="84" spans="1:19" ht="10.5" customHeight="1">
      <c r="A84" s="248"/>
      <c r="B84" s="248"/>
      <c r="C84" s="248"/>
      <c r="D84" s="248"/>
      <c r="E84" s="247"/>
      <c r="F84" s="247"/>
      <c r="G84" s="604" t="s">
        <v>271</v>
      </c>
      <c r="H84" s="65" t="s">
        <v>290</v>
      </c>
      <c r="I84" s="69" t="s">
        <v>79</v>
      </c>
      <c r="J84" s="67" t="s">
        <v>287</v>
      </c>
      <c r="K84" s="268">
        <v>40823</v>
      </c>
      <c r="L84" s="68" t="s">
        <v>68</v>
      </c>
      <c r="M84" s="325">
        <v>10</v>
      </c>
      <c r="N84" s="326">
        <v>10</v>
      </c>
      <c r="O84" s="388">
        <v>372</v>
      </c>
      <c r="P84" s="605">
        <v>50</v>
      </c>
      <c r="Q84" s="343">
        <f>31458.5+18316.5+9973.5+2181+7429+3551+2891+512+313+372</f>
        <v>76997.5</v>
      </c>
      <c r="R84" s="348">
        <f>2922+2132+1224+343+1097+635+770+85+39+50</f>
        <v>9297</v>
      </c>
      <c r="S84" s="421">
        <v>40907</v>
      </c>
    </row>
    <row r="85" spans="1:19" ht="10.5" customHeight="1">
      <c r="A85" s="250"/>
      <c r="B85" s="254">
        <v>3</v>
      </c>
      <c r="C85" s="235"/>
      <c r="D85" s="242" t="s">
        <v>292</v>
      </c>
      <c r="E85" s="234"/>
      <c r="F85" s="247"/>
      <c r="G85" s="635" t="s">
        <v>57</v>
      </c>
      <c r="H85" s="65" t="s">
        <v>97</v>
      </c>
      <c r="I85" s="68" t="s">
        <v>95</v>
      </c>
      <c r="J85" s="68" t="s">
        <v>58</v>
      </c>
      <c r="K85" s="269">
        <v>40795</v>
      </c>
      <c r="L85" s="68" t="s">
        <v>10</v>
      </c>
      <c r="M85" s="313">
        <v>142</v>
      </c>
      <c r="N85" s="264">
        <v>18</v>
      </c>
      <c r="O85" s="606">
        <v>3430</v>
      </c>
      <c r="P85" s="607">
        <v>385</v>
      </c>
      <c r="Q85" s="419">
        <f>4013616+3430</f>
        <v>4017046</v>
      </c>
      <c r="R85" s="420">
        <f>390462+385</f>
        <v>390847</v>
      </c>
      <c r="S85" s="266">
        <v>40914</v>
      </c>
    </row>
    <row r="86" spans="1:19" ht="10.5" customHeight="1">
      <c r="A86" s="259"/>
      <c r="B86" s="259"/>
      <c r="C86" s="248"/>
      <c r="D86" s="242" t="s">
        <v>292</v>
      </c>
      <c r="E86" s="234"/>
      <c r="F86" s="247"/>
      <c r="G86" s="635" t="s">
        <v>57</v>
      </c>
      <c r="H86" s="65" t="s">
        <v>97</v>
      </c>
      <c r="I86" s="68" t="s">
        <v>95</v>
      </c>
      <c r="J86" s="68" t="s">
        <v>58</v>
      </c>
      <c r="K86" s="269">
        <v>40795</v>
      </c>
      <c r="L86" s="68" t="s">
        <v>10</v>
      </c>
      <c r="M86" s="339">
        <v>142</v>
      </c>
      <c r="N86" s="344">
        <v>17</v>
      </c>
      <c r="O86" s="388">
        <v>948</v>
      </c>
      <c r="P86" s="605">
        <v>133</v>
      </c>
      <c r="Q86" s="343">
        <v>4013616</v>
      </c>
      <c r="R86" s="348">
        <v>390462</v>
      </c>
      <c r="S86" s="421">
        <v>40907</v>
      </c>
    </row>
    <row r="87" spans="1:19" ht="10.5" customHeight="1">
      <c r="A87" s="250"/>
      <c r="B87" s="254">
        <v>3</v>
      </c>
      <c r="C87" s="235"/>
      <c r="D87" s="242" t="s">
        <v>292</v>
      </c>
      <c r="E87" s="234"/>
      <c r="F87" s="247"/>
      <c r="G87" s="635" t="s">
        <v>57</v>
      </c>
      <c r="H87" s="65" t="s">
        <v>97</v>
      </c>
      <c r="I87" s="68" t="s">
        <v>95</v>
      </c>
      <c r="J87" s="68" t="s">
        <v>58</v>
      </c>
      <c r="K87" s="269">
        <v>40795</v>
      </c>
      <c r="L87" s="68" t="s">
        <v>10</v>
      </c>
      <c r="M87" s="339">
        <v>142</v>
      </c>
      <c r="N87" s="344">
        <v>19</v>
      </c>
      <c r="O87" s="388">
        <v>180</v>
      </c>
      <c r="P87" s="605">
        <v>30</v>
      </c>
      <c r="Q87" s="343">
        <v>4017226</v>
      </c>
      <c r="R87" s="348">
        <v>390877</v>
      </c>
      <c r="S87" s="266">
        <v>40921</v>
      </c>
    </row>
    <row r="88" spans="1:19" ht="10.5" customHeight="1">
      <c r="A88" s="248"/>
      <c r="B88" s="248"/>
      <c r="C88" s="248"/>
      <c r="D88" s="248"/>
      <c r="E88" s="247"/>
      <c r="F88" s="237" t="s">
        <v>54</v>
      </c>
      <c r="G88" s="616" t="s">
        <v>73</v>
      </c>
      <c r="H88" s="67" t="s">
        <v>87</v>
      </c>
      <c r="I88" s="67"/>
      <c r="J88" s="67" t="s">
        <v>73</v>
      </c>
      <c r="K88" s="268">
        <v>40858</v>
      </c>
      <c r="L88" s="68" t="s">
        <v>68</v>
      </c>
      <c r="M88" s="325">
        <v>32</v>
      </c>
      <c r="N88" s="326">
        <v>8</v>
      </c>
      <c r="O88" s="388">
        <v>5519</v>
      </c>
      <c r="P88" s="605">
        <v>782</v>
      </c>
      <c r="Q88" s="343">
        <f>119417+74006.5+30939.5+15734+17682+7740+3814.5+5519</f>
        <v>274852.5</v>
      </c>
      <c r="R88" s="348">
        <f>12383+8559+4204+1986+2778+1301+707+782</f>
        <v>32700</v>
      </c>
      <c r="S88" s="421">
        <v>40907</v>
      </c>
    </row>
    <row r="89" spans="1:19" ht="10.5" customHeight="1">
      <c r="A89" s="235"/>
      <c r="B89" s="235"/>
      <c r="C89" s="235"/>
      <c r="D89" s="235"/>
      <c r="E89" s="239"/>
      <c r="F89" s="237" t="s">
        <v>54</v>
      </c>
      <c r="G89" s="616" t="s">
        <v>73</v>
      </c>
      <c r="H89" s="67" t="s">
        <v>87</v>
      </c>
      <c r="I89" s="67"/>
      <c r="J89" s="67" t="s">
        <v>73</v>
      </c>
      <c r="K89" s="268">
        <v>40858</v>
      </c>
      <c r="L89" s="68" t="s">
        <v>68</v>
      </c>
      <c r="M89" s="309">
        <v>32</v>
      </c>
      <c r="N89" s="416">
        <v>9</v>
      </c>
      <c r="O89" s="606">
        <v>937</v>
      </c>
      <c r="P89" s="607">
        <v>165</v>
      </c>
      <c r="Q89" s="419">
        <f>119417+74006.5+30939.5+15734+17682+7740+3814.5+5519+937</f>
        <v>275789.5</v>
      </c>
      <c r="R89" s="420">
        <f>12383+8559+4204+1986+2778+1301+707+782+165</f>
        <v>32865</v>
      </c>
      <c r="S89" s="266">
        <v>40914</v>
      </c>
    </row>
    <row r="90" spans="1:19" ht="10.5" customHeight="1">
      <c r="A90" s="235"/>
      <c r="B90" s="235"/>
      <c r="C90" s="235"/>
      <c r="D90" s="235"/>
      <c r="E90" s="239"/>
      <c r="F90" s="237" t="s">
        <v>54</v>
      </c>
      <c r="G90" s="616" t="s">
        <v>73</v>
      </c>
      <c r="H90" s="67" t="s">
        <v>87</v>
      </c>
      <c r="I90" s="67"/>
      <c r="J90" s="67" t="s">
        <v>73</v>
      </c>
      <c r="K90" s="268">
        <v>40858</v>
      </c>
      <c r="L90" s="68" t="s">
        <v>68</v>
      </c>
      <c r="M90" s="325">
        <v>32</v>
      </c>
      <c r="N90" s="326">
        <v>10</v>
      </c>
      <c r="O90" s="388">
        <v>732</v>
      </c>
      <c r="P90" s="605">
        <v>115</v>
      </c>
      <c r="Q90" s="343">
        <f>119417+74006.5+30939.5+15734+17682+7740+3814.5+5519+937+732</f>
        <v>276521.5</v>
      </c>
      <c r="R90" s="348">
        <f>12383+8559+4204+1986+2778+1301+707+782+165+115</f>
        <v>32980</v>
      </c>
      <c r="S90" s="266">
        <v>40921</v>
      </c>
    </row>
    <row r="91" spans="1:19" ht="10.5" customHeight="1">
      <c r="A91" s="470"/>
      <c r="B91" s="470"/>
      <c r="C91" s="470"/>
      <c r="D91" s="470"/>
      <c r="E91" s="471"/>
      <c r="F91" s="474" t="s">
        <v>54</v>
      </c>
      <c r="G91" s="616" t="s">
        <v>73</v>
      </c>
      <c r="H91" s="67" t="s">
        <v>87</v>
      </c>
      <c r="I91" s="67"/>
      <c r="J91" s="67" t="s">
        <v>73</v>
      </c>
      <c r="K91" s="268">
        <v>40858</v>
      </c>
      <c r="L91" s="68" t="s">
        <v>68</v>
      </c>
      <c r="M91" s="325">
        <v>32</v>
      </c>
      <c r="N91" s="326">
        <v>10</v>
      </c>
      <c r="O91" s="388">
        <v>479</v>
      </c>
      <c r="P91" s="605">
        <v>82</v>
      </c>
      <c r="Q91" s="343">
        <f>119417+74006.5+30939.5+15734+17682+7740+3814.5+5519+937+732+479</f>
        <v>277000.5</v>
      </c>
      <c r="R91" s="348">
        <f>12383+8559+4204+1986+2778+1301+707+782+165+115+82</f>
        <v>33062</v>
      </c>
      <c r="S91" s="266">
        <v>40928</v>
      </c>
    </row>
    <row r="92" spans="1:19" ht="10.5" customHeight="1">
      <c r="A92" s="482" t="s">
        <v>223</v>
      </c>
      <c r="B92" s="470"/>
      <c r="C92" s="540"/>
      <c r="D92" s="481" t="s">
        <v>292</v>
      </c>
      <c r="E92" s="475" t="s">
        <v>55</v>
      </c>
      <c r="F92" s="472"/>
      <c r="G92" s="604" t="s">
        <v>448</v>
      </c>
      <c r="H92" s="67" t="s">
        <v>465</v>
      </c>
      <c r="I92" s="67" t="s">
        <v>89</v>
      </c>
      <c r="J92" s="67" t="s">
        <v>474</v>
      </c>
      <c r="K92" s="268">
        <v>40697</v>
      </c>
      <c r="L92" s="68" t="s">
        <v>68</v>
      </c>
      <c r="M92" s="325">
        <v>71</v>
      </c>
      <c r="N92" s="432">
        <v>31</v>
      </c>
      <c r="O92" s="388">
        <v>7128</v>
      </c>
      <c r="P92" s="605">
        <v>1783</v>
      </c>
      <c r="Q92" s="343">
        <f>204018.5+92011.75+38624.5+27400+22817+12697.5+8373+8455.5+6781+2290+2830+1048+3163+3005+2166+6840+1490+14+6415.5+3721.5+7267.5+3007+701.5+608.5+3931+316+1244+768+1787+1197+7128</f>
        <v>482117.25</v>
      </c>
      <c r="R92" s="348">
        <f>20915+10991+4900+3855+3433+1986+1329+1415+1032+399+409+237+591+657+312+1653+293+7+1605+687+1458+678+106+95+900+62+202+109+514+390+1783</f>
        <v>63003</v>
      </c>
      <c r="S92" s="266">
        <v>40928</v>
      </c>
    </row>
    <row r="93" spans="1:19" ht="10.5" customHeight="1">
      <c r="A93" s="482" t="s">
        <v>223</v>
      </c>
      <c r="B93" s="470"/>
      <c r="C93" s="540"/>
      <c r="D93" s="481" t="s">
        <v>292</v>
      </c>
      <c r="E93" s="475" t="s">
        <v>55</v>
      </c>
      <c r="F93" s="472"/>
      <c r="G93" s="604" t="s">
        <v>453</v>
      </c>
      <c r="H93" s="67" t="s">
        <v>457</v>
      </c>
      <c r="I93" s="67"/>
      <c r="J93" s="67" t="s">
        <v>461</v>
      </c>
      <c r="K93" s="268">
        <v>39878</v>
      </c>
      <c r="L93" s="68" t="s">
        <v>68</v>
      </c>
      <c r="M93" s="325">
        <v>39</v>
      </c>
      <c r="N93" s="432">
        <v>39</v>
      </c>
      <c r="O93" s="388">
        <v>2852</v>
      </c>
      <c r="P93" s="605">
        <v>713</v>
      </c>
      <c r="Q93" s="343">
        <f>143992.5+82756.5+42509+41229+27290.5+16668+27602+17675+4710+8504.5+2403+4164+2272+3469+1997+135+299+674+178+30+240+1413+1006+209+393+680+1780+4040+1780+1780+952+745+2376+2376+2376+4752+2376+708+2852</f>
        <v>461392</v>
      </c>
      <c r="R93" s="348">
        <f>15320+9228+5096+5970+4485+3115+5134+3946+1139+2307+509+879+411+637+472+29+62+165+32+6+48+348+139+43+54+68+445+1010+445+445+238+149+594+594+594+1188+594+164+713</f>
        <v>66815</v>
      </c>
      <c r="S93" s="266">
        <v>40928</v>
      </c>
    </row>
    <row r="94" spans="1:19" ht="10.5" customHeight="1">
      <c r="A94" s="235"/>
      <c r="B94" s="235"/>
      <c r="C94" s="248"/>
      <c r="D94" s="235"/>
      <c r="E94" s="247"/>
      <c r="F94" s="247"/>
      <c r="G94" s="618" t="s">
        <v>253</v>
      </c>
      <c r="H94" s="68" t="s">
        <v>254</v>
      </c>
      <c r="I94" s="68" t="s">
        <v>79</v>
      </c>
      <c r="J94" s="68" t="s">
        <v>255</v>
      </c>
      <c r="K94" s="268">
        <v>40802</v>
      </c>
      <c r="L94" s="68" t="s">
        <v>13</v>
      </c>
      <c r="M94" s="434">
        <v>8</v>
      </c>
      <c r="N94" s="326">
        <v>14</v>
      </c>
      <c r="O94" s="392">
        <v>302.5</v>
      </c>
      <c r="P94" s="612">
        <v>67</v>
      </c>
      <c r="Q94" s="333">
        <v>73390</v>
      </c>
      <c r="R94" s="334">
        <v>8093</v>
      </c>
      <c r="S94" s="421">
        <v>40907</v>
      </c>
    </row>
    <row r="95" spans="1:19" ht="10.5" customHeight="1">
      <c r="A95" s="235"/>
      <c r="B95" s="235"/>
      <c r="C95" s="248"/>
      <c r="D95" s="235"/>
      <c r="E95" s="247"/>
      <c r="F95" s="237" t="s">
        <v>54</v>
      </c>
      <c r="G95" s="636" t="s">
        <v>237</v>
      </c>
      <c r="H95" s="68" t="s">
        <v>238</v>
      </c>
      <c r="I95" s="68"/>
      <c r="J95" s="68" t="s">
        <v>237</v>
      </c>
      <c r="K95" s="268">
        <v>40613</v>
      </c>
      <c r="L95" s="68" t="s">
        <v>13</v>
      </c>
      <c r="M95" s="434">
        <v>25</v>
      </c>
      <c r="N95" s="326">
        <v>19</v>
      </c>
      <c r="O95" s="392">
        <v>594</v>
      </c>
      <c r="P95" s="612">
        <v>118</v>
      </c>
      <c r="Q95" s="333">
        <v>211543.5</v>
      </c>
      <c r="R95" s="334">
        <v>28466</v>
      </c>
      <c r="S95" s="421">
        <v>40907</v>
      </c>
    </row>
    <row r="96" spans="1:19" ht="10.5" customHeight="1">
      <c r="A96" s="245" t="s">
        <v>223</v>
      </c>
      <c r="B96" s="235"/>
      <c r="C96" s="235"/>
      <c r="D96" s="235"/>
      <c r="E96" s="246" t="s">
        <v>55</v>
      </c>
      <c r="F96" s="247"/>
      <c r="G96" s="604" t="s">
        <v>400</v>
      </c>
      <c r="H96" s="67" t="s">
        <v>126</v>
      </c>
      <c r="I96" s="67" t="s">
        <v>89</v>
      </c>
      <c r="J96" s="67" t="s">
        <v>403</v>
      </c>
      <c r="K96" s="268">
        <v>40543</v>
      </c>
      <c r="L96" s="68" t="s">
        <v>68</v>
      </c>
      <c r="M96" s="325">
        <v>99</v>
      </c>
      <c r="N96" s="326">
        <v>26</v>
      </c>
      <c r="O96" s="388">
        <v>1425.5</v>
      </c>
      <c r="P96" s="605">
        <v>356</v>
      </c>
      <c r="Q96" s="343">
        <f>74157.5+721285.5+410076+112730.5+28262.5+6646+19483.5+940+1245+2674.5+7128+1782+331+245+6545.5+694+1782+1782+1782+1188+306+1188+3340+316+713+2376+1425.5</f>
        <v>1410425</v>
      </c>
      <c r="R96" s="348">
        <f>7361+62279+35611+10987+4077+689+3901+125+178+502+1781+445+78+59+1496+114+446+446+446+297+61+297+668+53+178+594+356</f>
        <v>133525</v>
      </c>
      <c r="S96" s="266">
        <v>40921</v>
      </c>
    </row>
    <row r="97" spans="1:19" ht="10.5" customHeight="1">
      <c r="A97" s="248"/>
      <c r="B97" s="254">
        <v>3</v>
      </c>
      <c r="C97" s="248"/>
      <c r="D97" s="235"/>
      <c r="E97" s="247"/>
      <c r="F97" s="247"/>
      <c r="G97" s="604" t="s">
        <v>282</v>
      </c>
      <c r="H97" s="65" t="s">
        <v>281</v>
      </c>
      <c r="I97" s="69" t="s">
        <v>248</v>
      </c>
      <c r="J97" s="67" t="s">
        <v>280</v>
      </c>
      <c r="K97" s="268">
        <v>40767</v>
      </c>
      <c r="L97" s="68" t="s">
        <v>68</v>
      </c>
      <c r="M97" s="325">
        <v>39</v>
      </c>
      <c r="N97" s="432">
        <v>17</v>
      </c>
      <c r="O97" s="388">
        <v>754.5</v>
      </c>
      <c r="P97" s="605">
        <v>110</v>
      </c>
      <c r="Q97" s="343">
        <f>227782+93706+36180+21819+14718.5+11547.5+9757.5+8598+8681+8538+4936.5+48+662+5495+26+1437+754.5</f>
        <v>454686.5</v>
      </c>
      <c r="R97" s="348">
        <f>21125+9522+4298+2881+1947+1746+1401+1176+1202+1176+682+7+103+939+4+204+110</f>
        <v>48523</v>
      </c>
      <c r="S97" s="421">
        <v>40907</v>
      </c>
    </row>
    <row r="98" spans="1:19" ht="10.5" customHeight="1">
      <c r="A98" s="235"/>
      <c r="B98" s="254">
        <v>3</v>
      </c>
      <c r="C98" s="248"/>
      <c r="D98" s="235"/>
      <c r="E98" s="239"/>
      <c r="F98" s="247"/>
      <c r="G98" s="604" t="s">
        <v>282</v>
      </c>
      <c r="H98" s="65" t="s">
        <v>281</v>
      </c>
      <c r="I98" s="69" t="s">
        <v>248</v>
      </c>
      <c r="J98" s="67" t="s">
        <v>280</v>
      </c>
      <c r="K98" s="268">
        <v>40767</v>
      </c>
      <c r="L98" s="68" t="s">
        <v>68</v>
      </c>
      <c r="M98" s="309">
        <v>39</v>
      </c>
      <c r="N98" s="263">
        <v>17</v>
      </c>
      <c r="O98" s="606">
        <v>389.5</v>
      </c>
      <c r="P98" s="607">
        <v>56</v>
      </c>
      <c r="Q98" s="419">
        <f>227782+93706+36180+21819+14718.5+11547.5+9757.5+8598+8681+8538+4936.5+48+662+5495+26+1437+754.5+389.5</f>
        <v>455076</v>
      </c>
      <c r="R98" s="420">
        <f>21125+9522+4298+2881+1947+1746+1401+1176+1202+1176+682+7+103+939+4+204+110+56</f>
        <v>48579</v>
      </c>
      <c r="S98" s="266">
        <v>40914</v>
      </c>
    </row>
    <row r="99" spans="1:19" ht="10.5" customHeight="1">
      <c r="A99" s="235"/>
      <c r="B99" s="235"/>
      <c r="C99" s="248"/>
      <c r="D99" s="235"/>
      <c r="E99" s="246" t="s">
        <v>55</v>
      </c>
      <c r="F99" s="247"/>
      <c r="G99" s="635" t="s">
        <v>157</v>
      </c>
      <c r="H99" s="68" t="s">
        <v>163</v>
      </c>
      <c r="I99" s="68" t="s">
        <v>128</v>
      </c>
      <c r="J99" s="68" t="s">
        <v>160</v>
      </c>
      <c r="K99" s="268">
        <v>40907</v>
      </c>
      <c r="L99" s="68" t="s">
        <v>13</v>
      </c>
      <c r="M99" s="325">
        <v>2</v>
      </c>
      <c r="N99" s="326">
        <v>1</v>
      </c>
      <c r="O99" s="392">
        <v>2845</v>
      </c>
      <c r="P99" s="612">
        <v>437</v>
      </c>
      <c r="Q99" s="333">
        <v>2845</v>
      </c>
      <c r="R99" s="334">
        <v>437</v>
      </c>
      <c r="S99" s="421">
        <v>40907</v>
      </c>
    </row>
    <row r="100" spans="1:19" ht="10.5" customHeight="1">
      <c r="A100" s="245" t="s">
        <v>223</v>
      </c>
      <c r="B100" s="248"/>
      <c r="C100" s="248"/>
      <c r="D100" s="248"/>
      <c r="E100" s="246" t="s">
        <v>55</v>
      </c>
      <c r="F100" s="247"/>
      <c r="G100" s="635" t="s">
        <v>152</v>
      </c>
      <c r="H100" s="65" t="s">
        <v>217</v>
      </c>
      <c r="I100" s="66" t="s">
        <v>94</v>
      </c>
      <c r="J100" s="68" t="s">
        <v>152</v>
      </c>
      <c r="K100" s="268">
        <v>40676</v>
      </c>
      <c r="L100" s="68" t="s">
        <v>12</v>
      </c>
      <c r="M100" s="325">
        <v>100</v>
      </c>
      <c r="N100" s="326">
        <v>34</v>
      </c>
      <c r="O100" s="386">
        <v>372</v>
      </c>
      <c r="P100" s="628">
        <v>46</v>
      </c>
      <c r="Q100" s="335">
        <v>1184752</v>
      </c>
      <c r="R100" s="336">
        <v>129821</v>
      </c>
      <c r="S100" s="421">
        <v>40907</v>
      </c>
    </row>
    <row r="101" spans="1:19" ht="10.5" customHeight="1">
      <c r="A101" s="245" t="s">
        <v>223</v>
      </c>
      <c r="B101" s="259"/>
      <c r="C101" s="248"/>
      <c r="D101" s="259"/>
      <c r="E101" s="247"/>
      <c r="F101" s="308"/>
      <c r="G101" s="617" t="s">
        <v>176</v>
      </c>
      <c r="H101" s="70" t="s">
        <v>179</v>
      </c>
      <c r="I101" s="65" t="s">
        <v>138</v>
      </c>
      <c r="J101" s="70" t="s">
        <v>180</v>
      </c>
      <c r="K101" s="268">
        <v>40837</v>
      </c>
      <c r="L101" s="68" t="s">
        <v>53</v>
      </c>
      <c r="M101" s="352">
        <v>33</v>
      </c>
      <c r="N101" s="353">
        <v>5</v>
      </c>
      <c r="O101" s="392">
        <v>511</v>
      </c>
      <c r="P101" s="612">
        <v>50</v>
      </c>
      <c r="Q101" s="345">
        <v>307870</v>
      </c>
      <c r="R101" s="346">
        <v>23173</v>
      </c>
      <c r="S101" s="421">
        <v>40907</v>
      </c>
    </row>
    <row r="102" spans="1:19" ht="10.5" customHeight="1">
      <c r="A102" s="235"/>
      <c r="B102" s="235"/>
      <c r="C102" s="235"/>
      <c r="D102" s="235"/>
      <c r="E102" s="239"/>
      <c r="F102" s="239"/>
      <c r="G102" s="635" t="s">
        <v>159</v>
      </c>
      <c r="H102" s="68" t="s">
        <v>164</v>
      </c>
      <c r="I102" s="68" t="s">
        <v>79</v>
      </c>
      <c r="J102" s="68" t="s">
        <v>165</v>
      </c>
      <c r="K102" s="269">
        <v>40886</v>
      </c>
      <c r="L102" s="68" t="s">
        <v>13</v>
      </c>
      <c r="M102" s="325">
        <v>3</v>
      </c>
      <c r="N102" s="326">
        <v>5</v>
      </c>
      <c r="O102" s="392">
        <v>3735</v>
      </c>
      <c r="P102" s="612">
        <v>565</v>
      </c>
      <c r="Q102" s="333">
        <v>14161</v>
      </c>
      <c r="R102" s="334">
        <v>2041</v>
      </c>
      <c r="S102" s="266">
        <v>40921</v>
      </c>
    </row>
    <row r="103" spans="1:19" ht="10.5" customHeight="1">
      <c r="A103" s="470"/>
      <c r="B103" s="470"/>
      <c r="C103" s="470"/>
      <c r="D103" s="470"/>
      <c r="E103" s="471"/>
      <c r="F103" s="471"/>
      <c r="G103" s="635" t="s">
        <v>159</v>
      </c>
      <c r="H103" s="68" t="s">
        <v>164</v>
      </c>
      <c r="I103" s="68" t="s">
        <v>79</v>
      </c>
      <c r="J103" s="68" t="s">
        <v>165</v>
      </c>
      <c r="K103" s="269">
        <v>40886</v>
      </c>
      <c r="L103" s="68" t="s">
        <v>13</v>
      </c>
      <c r="M103" s="325">
        <v>3</v>
      </c>
      <c r="N103" s="326">
        <v>6</v>
      </c>
      <c r="O103" s="392">
        <v>453</v>
      </c>
      <c r="P103" s="612">
        <v>74</v>
      </c>
      <c r="Q103" s="333">
        <v>16544</v>
      </c>
      <c r="R103" s="334">
        <v>2411</v>
      </c>
      <c r="S103" s="266">
        <v>40928</v>
      </c>
    </row>
    <row r="104" spans="1:19" ht="10.5" customHeight="1">
      <c r="A104" s="235"/>
      <c r="B104" s="235"/>
      <c r="C104" s="235"/>
      <c r="D104" s="235"/>
      <c r="E104" s="239"/>
      <c r="F104" s="239"/>
      <c r="G104" s="635" t="s">
        <v>159</v>
      </c>
      <c r="H104" s="68" t="s">
        <v>164</v>
      </c>
      <c r="I104" s="68" t="s">
        <v>79</v>
      </c>
      <c r="J104" s="68" t="s">
        <v>165</v>
      </c>
      <c r="K104" s="269">
        <v>40886</v>
      </c>
      <c r="L104" s="68" t="s">
        <v>13</v>
      </c>
      <c r="M104" s="309">
        <v>3</v>
      </c>
      <c r="N104" s="454">
        <v>4</v>
      </c>
      <c r="O104" s="610">
        <v>402</v>
      </c>
      <c r="P104" s="611">
        <v>90</v>
      </c>
      <c r="Q104" s="424">
        <v>12356</v>
      </c>
      <c r="R104" s="425">
        <v>1772</v>
      </c>
      <c r="S104" s="266">
        <v>40914</v>
      </c>
    </row>
    <row r="105" spans="1:19" ht="10.5" customHeight="1">
      <c r="A105" s="235"/>
      <c r="B105" s="235"/>
      <c r="C105" s="248"/>
      <c r="D105" s="235"/>
      <c r="E105" s="247"/>
      <c r="F105" s="247"/>
      <c r="G105" s="635" t="s">
        <v>159</v>
      </c>
      <c r="H105" s="68" t="s">
        <v>164</v>
      </c>
      <c r="I105" s="68" t="s">
        <v>79</v>
      </c>
      <c r="J105" s="68" t="s">
        <v>165</v>
      </c>
      <c r="K105" s="269">
        <v>40886</v>
      </c>
      <c r="L105" s="68" t="s">
        <v>13</v>
      </c>
      <c r="M105" s="325">
        <v>3</v>
      </c>
      <c r="N105" s="326">
        <v>3</v>
      </c>
      <c r="O105" s="392">
        <v>368</v>
      </c>
      <c r="P105" s="612">
        <v>44</v>
      </c>
      <c r="Q105" s="333">
        <v>11954</v>
      </c>
      <c r="R105" s="334">
        <v>1682</v>
      </c>
      <c r="S105" s="421">
        <v>40907</v>
      </c>
    </row>
    <row r="106" spans="1:19" ht="10.5" customHeight="1">
      <c r="A106" s="482" t="s">
        <v>223</v>
      </c>
      <c r="B106" s="477">
        <v>3</v>
      </c>
      <c r="C106" s="540"/>
      <c r="D106" s="481" t="s">
        <v>292</v>
      </c>
      <c r="E106" s="475" t="s">
        <v>55</v>
      </c>
      <c r="F106" s="472"/>
      <c r="G106" s="604" t="s">
        <v>454</v>
      </c>
      <c r="H106" s="67" t="s">
        <v>468</v>
      </c>
      <c r="I106" s="67" t="s">
        <v>89</v>
      </c>
      <c r="J106" s="67" t="s">
        <v>462</v>
      </c>
      <c r="K106" s="268">
        <v>39995</v>
      </c>
      <c r="L106" s="68" t="s">
        <v>68</v>
      </c>
      <c r="M106" s="325">
        <v>209</v>
      </c>
      <c r="N106" s="432">
        <v>72</v>
      </c>
      <c r="O106" s="388">
        <v>1188</v>
      </c>
      <c r="P106" s="605">
        <v>297</v>
      </c>
      <c r="Q106" s="343">
        <f>11405777.5+385+1188+6614+2968+1417+277+2612+1424+952+1780+952+364.5+1188+1188+2852+3019.5+305+1188+286+1188</f>
        <v>11437925.5</v>
      </c>
      <c r="R106" s="348">
        <f>1424397+63+297+1638+742+364+66+653+356+238+445+238+27+297+297+713+734+61+297+71+297</f>
        <v>1432291</v>
      </c>
      <c r="S106" s="266">
        <v>40928</v>
      </c>
    </row>
    <row r="107" spans="1:19" ht="10.5" customHeight="1">
      <c r="A107" s="248"/>
      <c r="B107" s="254">
        <v>3</v>
      </c>
      <c r="C107" s="248"/>
      <c r="D107" s="235"/>
      <c r="E107" s="247"/>
      <c r="F107" s="247"/>
      <c r="G107" s="626" t="s">
        <v>72</v>
      </c>
      <c r="H107" s="65" t="s">
        <v>83</v>
      </c>
      <c r="I107" s="65" t="s">
        <v>189</v>
      </c>
      <c r="J107" s="65" t="s">
        <v>182</v>
      </c>
      <c r="K107" s="268">
        <v>40858</v>
      </c>
      <c r="L107" s="68" t="s">
        <v>8</v>
      </c>
      <c r="M107" s="325">
        <v>132</v>
      </c>
      <c r="N107" s="340">
        <v>8</v>
      </c>
      <c r="O107" s="388">
        <v>11571</v>
      </c>
      <c r="P107" s="605">
        <v>1573</v>
      </c>
      <c r="Q107" s="343">
        <v>314058</v>
      </c>
      <c r="R107" s="348">
        <v>39844</v>
      </c>
      <c r="S107" s="421">
        <v>40907</v>
      </c>
    </row>
    <row r="108" spans="1:19" ht="10.5" customHeight="1">
      <c r="A108" s="248"/>
      <c r="B108" s="254">
        <v>3</v>
      </c>
      <c r="C108" s="248"/>
      <c r="D108" s="235"/>
      <c r="E108" s="247"/>
      <c r="F108" s="239"/>
      <c r="G108" s="626" t="s">
        <v>72</v>
      </c>
      <c r="H108" s="65" t="s">
        <v>83</v>
      </c>
      <c r="I108" s="65" t="s">
        <v>189</v>
      </c>
      <c r="J108" s="65" t="s">
        <v>182</v>
      </c>
      <c r="K108" s="268">
        <v>40858</v>
      </c>
      <c r="L108" s="68" t="s">
        <v>8</v>
      </c>
      <c r="M108" s="309">
        <v>132</v>
      </c>
      <c r="N108" s="260">
        <v>9</v>
      </c>
      <c r="O108" s="606">
        <v>6952</v>
      </c>
      <c r="P108" s="607">
        <v>968</v>
      </c>
      <c r="Q108" s="419">
        <v>6001835</v>
      </c>
      <c r="R108" s="420">
        <v>539058</v>
      </c>
      <c r="S108" s="266">
        <v>40914</v>
      </c>
    </row>
    <row r="109" spans="1:19" ht="10.5" customHeight="1">
      <c r="A109" s="476"/>
      <c r="B109" s="477">
        <v>3</v>
      </c>
      <c r="C109" s="476"/>
      <c r="D109" s="470"/>
      <c r="E109" s="472"/>
      <c r="F109" s="471"/>
      <c r="G109" s="626" t="s">
        <v>72</v>
      </c>
      <c r="H109" s="65" t="s">
        <v>83</v>
      </c>
      <c r="I109" s="65" t="s">
        <v>189</v>
      </c>
      <c r="J109" s="65" t="s">
        <v>182</v>
      </c>
      <c r="K109" s="268">
        <v>40858</v>
      </c>
      <c r="L109" s="68" t="s">
        <v>8</v>
      </c>
      <c r="M109" s="325">
        <v>132</v>
      </c>
      <c r="N109" s="340">
        <v>11</v>
      </c>
      <c r="O109" s="388">
        <v>4936</v>
      </c>
      <c r="P109" s="605">
        <v>726</v>
      </c>
      <c r="Q109" s="343">
        <v>6011645</v>
      </c>
      <c r="R109" s="348">
        <v>540678</v>
      </c>
      <c r="S109" s="266">
        <v>40928</v>
      </c>
    </row>
    <row r="110" spans="1:19" ht="10.5" customHeight="1">
      <c r="A110" s="248"/>
      <c r="B110" s="254">
        <v>3</v>
      </c>
      <c r="C110" s="248"/>
      <c r="D110" s="235"/>
      <c r="E110" s="247"/>
      <c r="F110" s="239"/>
      <c r="G110" s="626" t="s">
        <v>72</v>
      </c>
      <c r="H110" s="65" t="s">
        <v>83</v>
      </c>
      <c r="I110" s="65" t="s">
        <v>189</v>
      </c>
      <c r="J110" s="65" t="s">
        <v>182</v>
      </c>
      <c r="K110" s="268">
        <v>40858</v>
      </c>
      <c r="L110" s="68" t="s">
        <v>8</v>
      </c>
      <c r="M110" s="325">
        <v>132</v>
      </c>
      <c r="N110" s="340">
        <v>10</v>
      </c>
      <c r="O110" s="637">
        <v>4875</v>
      </c>
      <c r="P110" s="638">
        <v>894</v>
      </c>
      <c r="Q110" s="343">
        <v>6004374</v>
      </c>
      <c r="R110" s="348">
        <v>539462</v>
      </c>
      <c r="S110" s="266">
        <v>40921</v>
      </c>
    </row>
    <row r="111" spans="1:19" ht="10.5" customHeight="1">
      <c r="A111" s="470"/>
      <c r="B111" s="470"/>
      <c r="C111" s="540"/>
      <c r="D111" s="481" t="s">
        <v>292</v>
      </c>
      <c r="E111" s="475" t="s">
        <v>55</v>
      </c>
      <c r="F111" s="472"/>
      <c r="G111" s="604" t="s">
        <v>449</v>
      </c>
      <c r="H111" s="67" t="s">
        <v>466</v>
      </c>
      <c r="I111" s="67" t="s">
        <v>89</v>
      </c>
      <c r="J111" s="67" t="s">
        <v>471</v>
      </c>
      <c r="K111" s="268">
        <v>39738</v>
      </c>
      <c r="L111" s="68" t="s">
        <v>68</v>
      </c>
      <c r="M111" s="325">
        <v>67</v>
      </c>
      <c r="N111" s="326">
        <v>49</v>
      </c>
      <c r="O111" s="388">
        <v>4040</v>
      </c>
      <c r="P111" s="605">
        <v>1010</v>
      </c>
      <c r="Q111" s="343">
        <f>575413.5+2968+2376+2737+2376+2376+4752+2376+952+1780+226+286+162+6416+4040</f>
        <v>609236.5</v>
      </c>
      <c r="R111" s="348">
        <f>83313+742+594+635+594+594+1188+594+238+445+36+42+39+1604+1010</f>
        <v>91668</v>
      </c>
      <c r="S111" s="266">
        <v>40928</v>
      </c>
    </row>
    <row r="112" spans="1:19" ht="10.5" customHeight="1">
      <c r="A112" s="248"/>
      <c r="B112" s="248"/>
      <c r="C112" s="248"/>
      <c r="D112" s="248"/>
      <c r="E112" s="247"/>
      <c r="F112" s="247"/>
      <c r="G112" s="604" t="s">
        <v>69</v>
      </c>
      <c r="H112" s="65" t="s">
        <v>88</v>
      </c>
      <c r="I112" s="67" t="s">
        <v>89</v>
      </c>
      <c r="J112" s="69" t="s">
        <v>70</v>
      </c>
      <c r="K112" s="269">
        <v>40844</v>
      </c>
      <c r="L112" s="68" t="s">
        <v>68</v>
      </c>
      <c r="M112" s="325">
        <v>65</v>
      </c>
      <c r="N112" s="326">
        <v>10</v>
      </c>
      <c r="O112" s="388">
        <v>7426</v>
      </c>
      <c r="P112" s="605">
        <v>1233</v>
      </c>
      <c r="Q112" s="343">
        <f>436701.5+604505+232735.5+57290.5+18114+16414.5+17253.5+4587+2405+7426</f>
        <v>1397432.5</v>
      </c>
      <c r="R112" s="348">
        <f>39979+54264+21249+5324+1678+2463+2408+819+357+1233</f>
        <v>129774</v>
      </c>
      <c r="S112" s="421">
        <v>40907</v>
      </c>
    </row>
    <row r="113" spans="1:19" ht="10.5" customHeight="1">
      <c r="A113" s="235"/>
      <c r="B113" s="235"/>
      <c r="C113" s="235"/>
      <c r="D113" s="235"/>
      <c r="E113" s="239"/>
      <c r="F113" s="239"/>
      <c r="G113" s="604" t="s">
        <v>69</v>
      </c>
      <c r="H113" s="65" t="s">
        <v>88</v>
      </c>
      <c r="I113" s="67" t="s">
        <v>89</v>
      </c>
      <c r="J113" s="69" t="s">
        <v>70</v>
      </c>
      <c r="K113" s="269">
        <v>40844</v>
      </c>
      <c r="L113" s="68" t="s">
        <v>68</v>
      </c>
      <c r="M113" s="309">
        <v>65</v>
      </c>
      <c r="N113" s="416">
        <v>11</v>
      </c>
      <c r="O113" s="606">
        <v>2522</v>
      </c>
      <c r="P113" s="607">
        <v>383</v>
      </c>
      <c r="Q113" s="419">
        <f>436701.5+604505+232735.5+57290.5+18114+16414.5+17253.5+4587+2405+7426+2522</f>
        <v>1399954.5</v>
      </c>
      <c r="R113" s="420">
        <f>39979+54264+21249+5324+1678+2463+2408+819+357+1233+383</f>
        <v>130157</v>
      </c>
      <c r="S113" s="266">
        <v>40914</v>
      </c>
    </row>
    <row r="114" spans="1:19" ht="10.5" customHeight="1">
      <c r="A114" s="470"/>
      <c r="B114" s="470"/>
      <c r="C114" s="540"/>
      <c r="D114" s="470"/>
      <c r="E114" s="471"/>
      <c r="F114" s="472"/>
      <c r="G114" s="604" t="s">
        <v>476</v>
      </c>
      <c r="H114" s="67" t="s">
        <v>470</v>
      </c>
      <c r="I114" s="67" t="s">
        <v>89</v>
      </c>
      <c r="J114" s="67" t="s">
        <v>464</v>
      </c>
      <c r="K114" s="268">
        <v>40837</v>
      </c>
      <c r="L114" s="68" t="s">
        <v>68</v>
      </c>
      <c r="M114" s="325">
        <v>10</v>
      </c>
      <c r="N114" s="432">
        <v>6</v>
      </c>
      <c r="O114" s="388">
        <v>519</v>
      </c>
      <c r="P114" s="605">
        <v>86</v>
      </c>
      <c r="Q114" s="343">
        <f>10225+2950+986+451+172+519</f>
        <v>15303</v>
      </c>
      <c r="R114" s="348">
        <f>1095+291+123+65+22+86</f>
        <v>1682</v>
      </c>
      <c r="S114" s="266">
        <v>40928</v>
      </c>
    </row>
    <row r="115" spans="1:19" ht="10.5" customHeight="1">
      <c r="A115" s="235"/>
      <c r="B115" s="235"/>
      <c r="C115" s="235"/>
      <c r="D115" s="235"/>
      <c r="E115" s="239"/>
      <c r="F115" s="247"/>
      <c r="G115" s="604" t="s">
        <v>399</v>
      </c>
      <c r="H115" s="67" t="s">
        <v>405</v>
      </c>
      <c r="I115" s="67" t="s">
        <v>89</v>
      </c>
      <c r="J115" s="67" t="s">
        <v>399</v>
      </c>
      <c r="K115" s="268">
        <v>40886</v>
      </c>
      <c r="L115" s="68" t="s">
        <v>68</v>
      </c>
      <c r="M115" s="325">
        <v>9</v>
      </c>
      <c r="N115" s="326">
        <v>3</v>
      </c>
      <c r="O115" s="388">
        <v>1422</v>
      </c>
      <c r="P115" s="605">
        <v>240</v>
      </c>
      <c r="Q115" s="343">
        <f>55869.5+42730+1422</f>
        <v>100021.5</v>
      </c>
      <c r="R115" s="348">
        <f>3902+3837+240</f>
        <v>7979</v>
      </c>
      <c r="S115" s="266">
        <v>40921</v>
      </c>
    </row>
    <row r="116" spans="1:19" ht="10.5" customHeight="1">
      <c r="A116" s="470"/>
      <c r="B116" s="470"/>
      <c r="C116" s="470"/>
      <c r="D116" s="470"/>
      <c r="E116" s="471"/>
      <c r="F116" s="472"/>
      <c r="G116" s="604" t="s">
        <v>399</v>
      </c>
      <c r="H116" s="67" t="s">
        <v>405</v>
      </c>
      <c r="I116" s="67"/>
      <c r="J116" s="67" t="s">
        <v>399</v>
      </c>
      <c r="K116" s="268">
        <v>40886</v>
      </c>
      <c r="L116" s="68" t="s">
        <v>68</v>
      </c>
      <c r="M116" s="325">
        <v>9</v>
      </c>
      <c r="N116" s="326">
        <v>3</v>
      </c>
      <c r="O116" s="388">
        <v>522</v>
      </c>
      <c r="P116" s="605">
        <v>87</v>
      </c>
      <c r="Q116" s="343">
        <f>55869.5+42730+1422+522</f>
        <v>100543.5</v>
      </c>
      <c r="R116" s="348">
        <f>3902+3837+240+87</f>
        <v>8066</v>
      </c>
      <c r="S116" s="266">
        <v>40928</v>
      </c>
    </row>
    <row r="117" spans="1:19" ht="10.5" customHeight="1">
      <c r="A117" s="235"/>
      <c r="B117" s="235"/>
      <c r="C117" s="235"/>
      <c r="D117" s="235"/>
      <c r="E117" s="239"/>
      <c r="F117" s="239"/>
      <c r="G117" s="618" t="s">
        <v>258</v>
      </c>
      <c r="H117" s="68" t="s">
        <v>259</v>
      </c>
      <c r="I117" s="68" t="s">
        <v>260</v>
      </c>
      <c r="J117" s="68" t="s">
        <v>239</v>
      </c>
      <c r="K117" s="268">
        <v>40725</v>
      </c>
      <c r="L117" s="68" t="s">
        <v>13</v>
      </c>
      <c r="M117" s="309">
        <v>3</v>
      </c>
      <c r="N117" s="263">
        <v>20</v>
      </c>
      <c r="O117" s="610">
        <v>2970</v>
      </c>
      <c r="P117" s="611">
        <v>594</v>
      </c>
      <c r="Q117" s="424">
        <v>65729</v>
      </c>
      <c r="R117" s="425">
        <v>8049</v>
      </c>
      <c r="S117" s="266">
        <v>40914</v>
      </c>
    </row>
    <row r="118" spans="1:19" ht="10.5" customHeight="1">
      <c r="A118" s="235"/>
      <c r="B118" s="235"/>
      <c r="C118" s="248"/>
      <c r="D118" s="235"/>
      <c r="E118" s="247"/>
      <c r="F118" s="247"/>
      <c r="G118" s="618" t="s">
        <v>258</v>
      </c>
      <c r="H118" s="68" t="s">
        <v>259</v>
      </c>
      <c r="I118" s="68" t="s">
        <v>260</v>
      </c>
      <c r="J118" s="68" t="s">
        <v>239</v>
      </c>
      <c r="K118" s="268">
        <v>40725</v>
      </c>
      <c r="L118" s="68" t="s">
        <v>13</v>
      </c>
      <c r="M118" s="434">
        <v>3</v>
      </c>
      <c r="N118" s="326">
        <v>19</v>
      </c>
      <c r="O118" s="392">
        <v>1188</v>
      </c>
      <c r="P118" s="612">
        <v>237</v>
      </c>
      <c r="Q118" s="333">
        <v>62759</v>
      </c>
      <c r="R118" s="334">
        <v>7455</v>
      </c>
      <c r="S118" s="421">
        <v>40907</v>
      </c>
    </row>
    <row r="119" spans="1:19" ht="10.5" customHeight="1">
      <c r="A119" s="248"/>
      <c r="B119" s="235"/>
      <c r="C119" s="235"/>
      <c r="D119" s="242" t="s">
        <v>292</v>
      </c>
      <c r="E119" s="235"/>
      <c r="F119" s="239"/>
      <c r="G119" s="608" t="s">
        <v>385</v>
      </c>
      <c r="H119" s="65" t="s">
        <v>83</v>
      </c>
      <c r="I119" s="72" t="s">
        <v>94</v>
      </c>
      <c r="J119" s="72" t="s">
        <v>390</v>
      </c>
      <c r="K119" s="268">
        <v>40844</v>
      </c>
      <c r="L119" s="68" t="s">
        <v>12</v>
      </c>
      <c r="M119" s="325">
        <v>41</v>
      </c>
      <c r="N119" s="326">
        <v>12</v>
      </c>
      <c r="O119" s="392">
        <v>1192</v>
      </c>
      <c r="P119" s="612">
        <v>188</v>
      </c>
      <c r="Q119" s="335">
        <v>513253</v>
      </c>
      <c r="R119" s="336">
        <v>42102</v>
      </c>
      <c r="S119" s="266">
        <v>40921</v>
      </c>
    </row>
    <row r="120" spans="1:19" ht="10.5" customHeight="1">
      <c r="A120" s="235"/>
      <c r="B120" s="235"/>
      <c r="C120" s="235"/>
      <c r="D120" s="235"/>
      <c r="E120" s="239"/>
      <c r="F120" s="237" t="s">
        <v>54</v>
      </c>
      <c r="G120" s="616" t="s">
        <v>353</v>
      </c>
      <c r="H120" s="67" t="s">
        <v>364</v>
      </c>
      <c r="I120" s="69"/>
      <c r="J120" s="67" t="s">
        <v>353</v>
      </c>
      <c r="K120" s="268">
        <v>40676</v>
      </c>
      <c r="L120" s="68" t="s">
        <v>68</v>
      </c>
      <c r="M120" s="309">
        <v>10</v>
      </c>
      <c r="N120" s="416">
        <v>20</v>
      </c>
      <c r="O120" s="606">
        <v>3801.5</v>
      </c>
      <c r="P120" s="607">
        <v>950</v>
      </c>
      <c r="Q120" s="419">
        <f>19776.5+5289.5+3941.5+4149+6030.5+491+2263+886+669+235+576+182+578+116+1188+1782+1782+1782+1782+3801.5</f>
        <v>57300.5</v>
      </c>
      <c r="R120" s="420">
        <f>2214+710+772+646+1024+103+434+139+105+46+100+16+62+13+297+446+446+446+446+950</f>
        <v>9415</v>
      </c>
      <c r="S120" s="266">
        <v>40914</v>
      </c>
    </row>
    <row r="121" spans="1:19" ht="10.5" customHeight="1">
      <c r="A121" s="235"/>
      <c r="B121" s="235"/>
      <c r="C121" s="235"/>
      <c r="D121" s="235"/>
      <c r="E121" s="239"/>
      <c r="F121" s="237" t="s">
        <v>54</v>
      </c>
      <c r="G121" s="616" t="s">
        <v>353</v>
      </c>
      <c r="H121" s="67" t="s">
        <v>364</v>
      </c>
      <c r="I121" s="69"/>
      <c r="J121" s="67" t="s">
        <v>353</v>
      </c>
      <c r="K121" s="268">
        <v>40676</v>
      </c>
      <c r="L121" s="68" t="s">
        <v>68</v>
      </c>
      <c r="M121" s="325">
        <v>10</v>
      </c>
      <c r="N121" s="326">
        <v>20</v>
      </c>
      <c r="O121" s="388">
        <v>2138.5</v>
      </c>
      <c r="P121" s="605">
        <v>535</v>
      </c>
      <c r="Q121" s="343">
        <f>19776.5+5289.5+3941.5+4149+6030.5+491+2263+886+669+235+576+182+578+116+1188+1782+1782+1782+1782+3801.5+2138.5</f>
        <v>59439</v>
      </c>
      <c r="R121" s="348">
        <f>2214+710+772+646+1024+103+434+139+105+46+100+16+62+13+297+446+446+446+446+950+535</f>
        <v>9950</v>
      </c>
      <c r="S121" s="266">
        <v>40921</v>
      </c>
    </row>
    <row r="122" spans="1:19" ht="10.5" customHeight="1">
      <c r="A122" s="235"/>
      <c r="B122" s="235"/>
      <c r="C122" s="235"/>
      <c r="D122" s="235"/>
      <c r="E122" s="246" t="s">
        <v>55</v>
      </c>
      <c r="F122" s="247"/>
      <c r="G122" s="604" t="s">
        <v>368</v>
      </c>
      <c r="H122" s="67" t="s">
        <v>367</v>
      </c>
      <c r="I122" s="67" t="s">
        <v>128</v>
      </c>
      <c r="J122" s="67" t="s">
        <v>363</v>
      </c>
      <c r="K122" s="268">
        <v>40746</v>
      </c>
      <c r="L122" s="68" t="s">
        <v>68</v>
      </c>
      <c r="M122" s="325">
        <v>1</v>
      </c>
      <c r="N122" s="326">
        <v>8</v>
      </c>
      <c r="O122" s="388">
        <v>2138.5</v>
      </c>
      <c r="P122" s="605">
        <v>535</v>
      </c>
      <c r="Q122" s="343">
        <f>5298+3611+922.5+907+181+268.5+2138.5+2138.5+2138.5</f>
        <v>17603.5</v>
      </c>
      <c r="R122" s="348">
        <f>334+225+67+122+18+21+535+535+535</f>
        <v>2392</v>
      </c>
      <c r="S122" s="266">
        <v>40921</v>
      </c>
    </row>
    <row r="123" spans="1:19" ht="10.5" customHeight="1">
      <c r="A123" s="235"/>
      <c r="B123" s="235"/>
      <c r="C123" s="235"/>
      <c r="D123" s="235"/>
      <c r="E123" s="246" t="s">
        <v>55</v>
      </c>
      <c r="F123" s="247"/>
      <c r="G123" s="604" t="s">
        <v>368</v>
      </c>
      <c r="H123" s="67" t="s">
        <v>367</v>
      </c>
      <c r="I123" s="67" t="s">
        <v>128</v>
      </c>
      <c r="J123" s="67" t="s">
        <v>363</v>
      </c>
      <c r="K123" s="268">
        <v>40746</v>
      </c>
      <c r="L123" s="68" t="s">
        <v>68</v>
      </c>
      <c r="M123" s="309">
        <v>1</v>
      </c>
      <c r="N123" s="416">
        <v>8</v>
      </c>
      <c r="O123" s="606">
        <v>2138.5</v>
      </c>
      <c r="P123" s="607">
        <v>535</v>
      </c>
      <c r="Q123" s="419">
        <f>5298+3611+922.5+907+181+268.5+2138.5+2138.5</f>
        <v>15465</v>
      </c>
      <c r="R123" s="420">
        <f>334+225+67+122+18+21+535+535</f>
        <v>1857</v>
      </c>
      <c r="S123" s="266">
        <v>40914</v>
      </c>
    </row>
    <row r="124" spans="1:19" ht="10.5" customHeight="1">
      <c r="A124" s="470"/>
      <c r="B124" s="470"/>
      <c r="C124" s="470"/>
      <c r="D124" s="470"/>
      <c r="E124" s="475" t="s">
        <v>55</v>
      </c>
      <c r="F124" s="472"/>
      <c r="G124" s="604" t="s">
        <v>368</v>
      </c>
      <c r="H124" s="67" t="s">
        <v>367</v>
      </c>
      <c r="I124" s="67" t="s">
        <v>128</v>
      </c>
      <c r="J124" s="67" t="s">
        <v>363</v>
      </c>
      <c r="K124" s="268">
        <v>40746</v>
      </c>
      <c r="L124" s="68" t="s">
        <v>68</v>
      </c>
      <c r="M124" s="325">
        <v>1</v>
      </c>
      <c r="N124" s="326">
        <v>8</v>
      </c>
      <c r="O124" s="388">
        <v>2138.5</v>
      </c>
      <c r="P124" s="605">
        <v>535</v>
      </c>
      <c r="Q124" s="343">
        <f>5298+3611+922.5+907+181+268.5+2138.5+2138.5+2138.5+2138.5</f>
        <v>19742</v>
      </c>
      <c r="R124" s="348">
        <f>334+225+67+122+18+21+535+535+535+535</f>
        <v>2927</v>
      </c>
      <c r="S124" s="266">
        <v>40928</v>
      </c>
    </row>
    <row r="125" spans="1:19" ht="10.5" customHeight="1">
      <c r="A125" s="235"/>
      <c r="B125" s="235"/>
      <c r="C125" s="235"/>
      <c r="D125" s="235"/>
      <c r="E125" s="239"/>
      <c r="F125" s="237" t="s">
        <v>54</v>
      </c>
      <c r="G125" s="616" t="s">
        <v>398</v>
      </c>
      <c r="H125" s="67" t="s">
        <v>218</v>
      </c>
      <c r="I125" s="67"/>
      <c r="J125" s="67" t="s">
        <v>398</v>
      </c>
      <c r="K125" s="268">
        <v>40627</v>
      </c>
      <c r="L125" s="68" t="s">
        <v>68</v>
      </c>
      <c r="M125" s="325">
        <v>137</v>
      </c>
      <c r="N125" s="326">
        <v>25</v>
      </c>
      <c r="O125" s="388">
        <v>3801.5</v>
      </c>
      <c r="P125" s="605">
        <v>950</v>
      </c>
      <c r="Q125" s="343">
        <f>1066061.5+1061275+813239.75+606216+468367.5+266511+137274.5+89937.5+9478+4671.5+2215.5+593.5+2273.5+2234+1858+10514.5+2603+2122+2001+349+713+2613.5+475.5+3801.5</f>
        <v>4557399.75</v>
      </c>
      <c r="R125" s="348">
        <f>110278+106719+82858+62672+50883+32012+17904+13463+1427+637+352+91+261+268+240+2410+402+325+272+26+178+653+109+950</f>
        <v>485390</v>
      </c>
      <c r="S125" s="266">
        <v>40921</v>
      </c>
    </row>
    <row r="126" spans="1:19" ht="10.5" customHeight="1">
      <c r="A126" s="245" t="s">
        <v>223</v>
      </c>
      <c r="B126" s="235"/>
      <c r="C126" s="235"/>
      <c r="D126" s="242" t="s">
        <v>292</v>
      </c>
      <c r="E126" s="246" t="s">
        <v>55</v>
      </c>
      <c r="F126" s="239"/>
      <c r="G126" s="608" t="s">
        <v>103</v>
      </c>
      <c r="H126" s="65" t="s">
        <v>91</v>
      </c>
      <c r="I126" s="72" t="s">
        <v>94</v>
      </c>
      <c r="J126" s="72" t="s">
        <v>103</v>
      </c>
      <c r="K126" s="268">
        <v>40704</v>
      </c>
      <c r="L126" s="68" t="s">
        <v>12</v>
      </c>
      <c r="M126" s="309">
        <v>144</v>
      </c>
      <c r="N126" s="263">
        <v>31</v>
      </c>
      <c r="O126" s="610">
        <v>1197</v>
      </c>
      <c r="P126" s="611">
        <v>189</v>
      </c>
      <c r="Q126" s="424">
        <v>3760800</v>
      </c>
      <c r="R126" s="425">
        <v>344761</v>
      </c>
      <c r="S126" s="266">
        <v>40914</v>
      </c>
    </row>
    <row r="127" spans="1:19" ht="10.5" customHeight="1">
      <c r="A127" s="482" t="s">
        <v>223</v>
      </c>
      <c r="B127" s="470"/>
      <c r="C127" s="470"/>
      <c r="D127" s="481" t="s">
        <v>292</v>
      </c>
      <c r="E127" s="475" t="s">
        <v>55</v>
      </c>
      <c r="F127" s="471"/>
      <c r="G127" s="608" t="s">
        <v>103</v>
      </c>
      <c r="H127" s="65" t="s">
        <v>91</v>
      </c>
      <c r="I127" s="72" t="s">
        <v>94</v>
      </c>
      <c r="J127" s="72" t="s">
        <v>103</v>
      </c>
      <c r="K127" s="268">
        <v>40704</v>
      </c>
      <c r="L127" s="68" t="s">
        <v>12</v>
      </c>
      <c r="M127" s="325">
        <v>144</v>
      </c>
      <c r="N127" s="326">
        <v>33</v>
      </c>
      <c r="O127" s="392">
        <v>1197</v>
      </c>
      <c r="P127" s="612">
        <v>189</v>
      </c>
      <c r="Q127" s="333">
        <v>3761997</v>
      </c>
      <c r="R127" s="334">
        <v>344950</v>
      </c>
      <c r="S127" s="266">
        <v>40928</v>
      </c>
    </row>
    <row r="128" spans="1:19" ht="10.5" customHeight="1">
      <c r="A128" s="245" t="s">
        <v>223</v>
      </c>
      <c r="B128" s="248"/>
      <c r="C128" s="248"/>
      <c r="D128" s="242" t="s">
        <v>292</v>
      </c>
      <c r="E128" s="246" t="s">
        <v>55</v>
      </c>
      <c r="F128" s="234"/>
      <c r="G128" s="608" t="s">
        <v>103</v>
      </c>
      <c r="H128" s="65" t="s">
        <v>91</v>
      </c>
      <c r="I128" s="72" t="s">
        <v>94</v>
      </c>
      <c r="J128" s="72" t="s">
        <v>103</v>
      </c>
      <c r="K128" s="269">
        <v>40704</v>
      </c>
      <c r="L128" s="68" t="s">
        <v>12</v>
      </c>
      <c r="M128" s="325">
        <v>144</v>
      </c>
      <c r="N128" s="326">
        <v>30</v>
      </c>
      <c r="O128" s="386">
        <v>45</v>
      </c>
      <c r="P128" s="628">
        <v>9</v>
      </c>
      <c r="Q128" s="335">
        <v>3759603</v>
      </c>
      <c r="R128" s="336">
        <v>344572</v>
      </c>
      <c r="S128" s="421">
        <v>40907</v>
      </c>
    </row>
    <row r="129" spans="1:19" ht="10.5" customHeight="1">
      <c r="A129" s="235"/>
      <c r="B129" s="235"/>
      <c r="C129" s="235"/>
      <c r="D129" s="235"/>
      <c r="E129" s="239"/>
      <c r="F129" s="237" t="s">
        <v>54</v>
      </c>
      <c r="G129" s="634" t="s">
        <v>347</v>
      </c>
      <c r="H129" s="65" t="s">
        <v>348</v>
      </c>
      <c r="I129" s="72" t="s">
        <v>94</v>
      </c>
      <c r="J129" s="72" t="s">
        <v>347</v>
      </c>
      <c r="K129" s="268">
        <v>40914</v>
      </c>
      <c r="L129" s="68" t="s">
        <v>12</v>
      </c>
      <c r="M129" s="309">
        <v>204</v>
      </c>
      <c r="N129" s="263">
        <v>1</v>
      </c>
      <c r="O129" s="610">
        <v>1571916</v>
      </c>
      <c r="P129" s="611">
        <v>166869</v>
      </c>
      <c r="Q129" s="424">
        <v>1571916</v>
      </c>
      <c r="R129" s="425">
        <v>166869</v>
      </c>
      <c r="S129" s="266">
        <v>40914</v>
      </c>
    </row>
    <row r="130" spans="1:19" ht="10.5" customHeight="1">
      <c r="A130" s="235"/>
      <c r="B130" s="235"/>
      <c r="C130" s="235"/>
      <c r="D130" s="235"/>
      <c r="E130" s="239"/>
      <c r="F130" s="237" t="s">
        <v>54</v>
      </c>
      <c r="G130" s="634" t="s">
        <v>347</v>
      </c>
      <c r="H130" s="65" t="s">
        <v>348</v>
      </c>
      <c r="I130" s="72" t="s">
        <v>94</v>
      </c>
      <c r="J130" s="72" t="s">
        <v>347</v>
      </c>
      <c r="K130" s="268">
        <v>40914</v>
      </c>
      <c r="L130" s="68" t="s">
        <v>12</v>
      </c>
      <c r="M130" s="325">
        <v>204</v>
      </c>
      <c r="N130" s="326">
        <v>2</v>
      </c>
      <c r="O130" s="392">
        <v>1545867</v>
      </c>
      <c r="P130" s="612">
        <v>166896</v>
      </c>
      <c r="Q130" s="335">
        <v>3117783</v>
      </c>
      <c r="R130" s="336">
        <v>333765</v>
      </c>
      <c r="S130" s="266">
        <v>40921</v>
      </c>
    </row>
    <row r="131" spans="1:19" ht="10.5" customHeight="1">
      <c r="A131" s="540"/>
      <c r="B131" s="540"/>
      <c r="C131" s="470"/>
      <c r="D131" s="540"/>
      <c r="E131" s="471"/>
      <c r="F131" s="472"/>
      <c r="G131" s="635" t="s">
        <v>378</v>
      </c>
      <c r="H131" s="65" t="s">
        <v>377</v>
      </c>
      <c r="I131" s="68" t="s">
        <v>248</v>
      </c>
      <c r="J131" s="68" t="s">
        <v>379</v>
      </c>
      <c r="K131" s="268">
        <v>40893</v>
      </c>
      <c r="L131" s="68" t="s">
        <v>332</v>
      </c>
      <c r="M131" s="325">
        <v>8</v>
      </c>
      <c r="N131" s="326">
        <v>4</v>
      </c>
      <c r="O131" s="392">
        <v>10431.5</v>
      </c>
      <c r="P131" s="612">
        <v>1186</v>
      </c>
      <c r="Q131" s="333">
        <v>34975.5</v>
      </c>
      <c r="R131" s="334">
        <v>3096</v>
      </c>
      <c r="S131" s="266">
        <v>40928</v>
      </c>
    </row>
    <row r="132" spans="1:19" ht="10.5" customHeight="1">
      <c r="A132" s="251"/>
      <c r="B132" s="251"/>
      <c r="C132" s="235"/>
      <c r="D132" s="251"/>
      <c r="E132" s="239"/>
      <c r="F132" s="247"/>
      <c r="G132" s="635" t="s">
        <v>378</v>
      </c>
      <c r="H132" s="65" t="s">
        <v>377</v>
      </c>
      <c r="I132" s="68" t="s">
        <v>248</v>
      </c>
      <c r="J132" s="68" t="s">
        <v>379</v>
      </c>
      <c r="K132" s="268">
        <v>40893</v>
      </c>
      <c r="L132" s="68" t="s">
        <v>332</v>
      </c>
      <c r="M132" s="325">
        <v>8</v>
      </c>
      <c r="N132" s="326">
        <v>3</v>
      </c>
      <c r="O132" s="392">
        <v>113</v>
      </c>
      <c r="P132" s="612">
        <v>14</v>
      </c>
      <c r="Q132" s="333">
        <v>24528</v>
      </c>
      <c r="R132" s="334">
        <v>1908</v>
      </c>
      <c r="S132" s="266">
        <v>40921</v>
      </c>
    </row>
    <row r="133" spans="1:19" ht="10.5" customHeight="1">
      <c r="A133" s="235"/>
      <c r="B133" s="235"/>
      <c r="C133" s="235"/>
      <c r="D133" s="235"/>
      <c r="E133" s="239"/>
      <c r="F133" s="239"/>
      <c r="G133" s="604" t="s">
        <v>224</v>
      </c>
      <c r="H133" s="65" t="s">
        <v>193</v>
      </c>
      <c r="I133" s="69" t="s">
        <v>128</v>
      </c>
      <c r="J133" s="67" t="s">
        <v>191</v>
      </c>
      <c r="K133" s="269">
        <v>40907</v>
      </c>
      <c r="L133" s="68" t="s">
        <v>68</v>
      </c>
      <c r="M133" s="309">
        <v>19</v>
      </c>
      <c r="N133" s="416">
        <v>2</v>
      </c>
      <c r="O133" s="606">
        <v>115157</v>
      </c>
      <c r="P133" s="607">
        <v>8628</v>
      </c>
      <c r="Q133" s="419">
        <f>108631+115157</f>
        <v>223788</v>
      </c>
      <c r="R133" s="420">
        <f>8552+8628</f>
        <v>17180</v>
      </c>
      <c r="S133" s="266">
        <v>40914</v>
      </c>
    </row>
    <row r="134" spans="1:19" ht="10.5" customHeight="1">
      <c r="A134" s="248"/>
      <c r="B134" s="248"/>
      <c r="C134" s="248"/>
      <c r="D134" s="248"/>
      <c r="E134" s="247"/>
      <c r="F134" s="247"/>
      <c r="G134" s="604" t="s">
        <v>224</v>
      </c>
      <c r="H134" s="65" t="s">
        <v>193</v>
      </c>
      <c r="I134" s="69" t="s">
        <v>128</v>
      </c>
      <c r="J134" s="67" t="s">
        <v>191</v>
      </c>
      <c r="K134" s="269">
        <v>41273</v>
      </c>
      <c r="L134" s="68" t="s">
        <v>68</v>
      </c>
      <c r="M134" s="325">
        <v>19</v>
      </c>
      <c r="N134" s="326">
        <v>1</v>
      </c>
      <c r="O134" s="388">
        <v>108199</v>
      </c>
      <c r="P134" s="605">
        <v>8513</v>
      </c>
      <c r="Q134" s="343">
        <f>108199</f>
        <v>108199</v>
      </c>
      <c r="R134" s="348">
        <f>8513</f>
        <v>8513</v>
      </c>
      <c r="S134" s="421">
        <v>40907</v>
      </c>
    </row>
    <row r="135" spans="1:19" ht="10.5" customHeight="1">
      <c r="A135" s="235"/>
      <c r="B135" s="235"/>
      <c r="C135" s="235"/>
      <c r="D135" s="235"/>
      <c r="E135" s="239"/>
      <c r="F135" s="239"/>
      <c r="G135" s="604" t="s">
        <v>224</v>
      </c>
      <c r="H135" s="65" t="s">
        <v>193</v>
      </c>
      <c r="I135" s="69" t="s">
        <v>128</v>
      </c>
      <c r="J135" s="67" t="s">
        <v>191</v>
      </c>
      <c r="K135" s="269">
        <v>40907</v>
      </c>
      <c r="L135" s="68" t="s">
        <v>68</v>
      </c>
      <c r="M135" s="325">
        <v>19</v>
      </c>
      <c r="N135" s="326">
        <v>3</v>
      </c>
      <c r="O135" s="388">
        <v>28332.5</v>
      </c>
      <c r="P135" s="605">
        <v>2468</v>
      </c>
      <c r="Q135" s="343">
        <f>108631+115157+28332.5</f>
        <v>252120.5</v>
      </c>
      <c r="R135" s="348">
        <f>8552+8628+2468</f>
        <v>19648</v>
      </c>
      <c r="S135" s="266">
        <v>40921</v>
      </c>
    </row>
    <row r="136" spans="1:19" ht="10.5" customHeight="1">
      <c r="A136" s="248"/>
      <c r="B136" s="248"/>
      <c r="C136" s="248"/>
      <c r="D136" s="248"/>
      <c r="E136" s="247"/>
      <c r="F136" s="237" t="s">
        <v>54</v>
      </c>
      <c r="G136" s="616" t="s">
        <v>151</v>
      </c>
      <c r="H136" s="65" t="s">
        <v>218</v>
      </c>
      <c r="I136" s="69" t="s">
        <v>89</v>
      </c>
      <c r="J136" s="67" t="s">
        <v>151</v>
      </c>
      <c r="K136" s="268">
        <v>40900</v>
      </c>
      <c r="L136" s="68" t="s">
        <v>68</v>
      </c>
      <c r="M136" s="325">
        <v>197</v>
      </c>
      <c r="N136" s="326">
        <v>2</v>
      </c>
      <c r="O136" s="388">
        <v>656291</v>
      </c>
      <c r="P136" s="605">
        <v>73110</v>
      </c>
      <c r="Q136" s="343">
        <f>985836.5+656291</f>
        <v>1642127.5</v>
      </c>
      <c r="R136" s="348">
        <f>106718+73110</f>
        <v>179828</v>
      </c>
      <c r="S136" s="421">
        <v>40907</v>
      </c>
    </row>
    <row r="137" spans="1:19" ht="10.5" customHeight="1">
      <c r="A137" s="235"/>
      <c r="B137" s="235"/>
      <c r="C137" s="235"/>
      <c r="D137" s="248"/>
      <c r="E137" s="239"/>
      <c r="F137" s="237" t="s">
        <v>54</v>
      </c>
      <c r="G137" s="616" t="s">
        <v>151</v>
      </c>
      <c r="H137" s="65" t="s">
        <v>218</v>
      </c>
      <c r="I137" s="69" t="s">
        <v>89</v>
      </c>
      <c r="J137" s="67" t="s">
        <v>151</v>
      </c>
      <c r="K137" s="268">
        <v>40900</v>
      </c>
      <c r="L137" s="68" t="s">
        <v>68</v>
      </c>
      <c r="M137" s="309">
        <v>197</v>
      </c>
      <c r="N137" s="416">
        <v>3</v>
      </c>
      <c r="O137" s="606">
        <v>454728.5</v>
      </c>
      <c r="P137" s="607">
        <v>50608</v>
      </c>
      <c r="Q137" s="419">
        <f>985836.5+657011.5+454728.5</f>
        <v>2097576.5</v>
      </c>
      <c r="R137" s="420">
        <f>106718+73176+50608</f>
        <v>230502</v>
      </c>
      <c r="S137" s="266">
        <v>40914</v>
      </c>
    </row>
    <row r="138" spans="1:19" ht="10.5" customHeight="1">
      <c r="A138" s="235"/>
      <c r="B138" s="235"/>
      <c r="C138" s="235"/>
      <c r="D138" s="248"/>
      <c r="E138" s="239"/>
      <c r="F138" s="237" t="s">
        <v>54</v>
      </c>
      <c r="G138" s="616" t="s">
        <v>151</v>
      </c>
      <c r="H138" s="65" t="s">
        <v>218</v>
      </c>
      <c r="I138" s="69" t="s">
        <v>89</v>
      </c>
      <c r="J138" s="67" t="s">
        <v>151</v>
      </c>
      <c r="K138" s="268">
        <v>40900</v>
      </c>
      <c r="L138" s="68" t="s">
        <v>68</v>
      </c>
      <c r="M138" s="325">
        <v>197</v>
      </c>
      <c r="N138" s="326">
        <v>4</v>
      </c>
      <c r="O138" s="388">
        <v>206447</v>
      </c>
      <c r="P138" s="605">
        <v>29112</v>
      </c>
      <c r="Q138" s="343">
        <f>985836.5+657011.5+454728.5+206447</f>
        <v>2304023.5</v>
      </c>
      <c r="R138" s="348">
        <f>106718+73176+50608+29112</f>
        <v>259614</v>
      </c>
      <c r="S138" s="266">
        <v>40921</v>
      </c>
    </row>
    <row r="139" spans="1:19" ht="10.5" customHeight="1">
      <c r="A139" s="470"/>
      <c r="B139" s="470"/>
      <c r="C139" s="470"/>
      <c r="D139" s="476"/>
      <c r="E139" s="471"/>
      <c r="F139" s="474" t="s">
        <v>54</v>
      </c>
      <c r="G139" s="604" t="s">
        <v>151</v>
      </c>
      <c r="H139" s="65" t="s">
        <v>218</v>
      </c>
      <c r="I139" s="69"/>
      <c r="J139" s="67" t="s">
        <v>151</v>
      </c>
      <c r="K139" s="268">
        <v>40900</v>
      </c>
      <c r="L139" s="68" t="s">
        <v>68</v>
      </c>
      <c r="M139" s="325">
        <v>197</v>
      </c>
      <c r="N139" s="326">
        <v>5</v>
      </c>
      <c r="O139" s="388">
        <v>72029</v>
      </c>
      <c r="P139" s="605">
        <v>10776</v>
      </c>
      <c r="Q139" s="343">
        <f>985836.5+657011.5+454728.5+206461+72029</f>
        <v>2376066.5</v>
      </c>
      <c r="R139" s="348">
        <f>106718+73176+50608+29114+10776</f>
        <v>270392</v>
      </c>
      <c r="S139" s="266">
        <v>40928</v>
      </c>
    </row>
    <row r="140" spans="1:19" ht="10.5" customHeight="1">
      <c r="A140" s="248"/>
      <c r="B140" s="248"/>
      <c r="C140" s="248"/>
      <c r="D140" s="248"/>
      <c r="E140" s="247"/>
      <c r="F140" s="247"/>
      <c r="G140" s="604" t="s">
        <v>268</v>
      </c>
      <c r="H140" s="65" t="s">
        <v>275</v>
      </c>
      <c r="I140" s="69" t="s">
        <v>273</v>
      </c>
      <c r="J140" s="67" t="s">
        <v>285</v>
      </c>
      <c r="K140" s="268">
        <v>40641</v>
      </c>
      <c r="L140" s="68" t="s">
        <v>68</v>
      </c>
      <c r="M140" s="325">
        <v>22</v>
      </c>
      <c r="N140" s="326">
        <v>21</v>
      </c>
      <c r="O140" s="388">
        <v>3801.5</v>
      </c>
      <c r="P140" s="605">
        <v>950</v>
      </c>
      <c r="Q140" s="343">
        <f>116634.25+59106.5+23134.5+13753.5+15970+8455.5+1576+1761+10125.5+2018+2376+1505+1606+4951.5+5289.5+5175+120+1367+4606+1218+3801.5</f>
        <v>284550.25</v>
      </c>
      <c r="R140" s="348">
        <f>8833+4531+2274+1803+2249+1097+201+284+1149+305+594+210+182+582+643+704+20+163+464+300+950</f>
        <v>27538</v>
      </c>
      <c r="S140" s="421">
        <v>40907</v>
      </c>
    </row>
    <row r="141" spans="1:19" ht="10.5" customHeight="1">
      <c r="A141" s="248"/>
      <c r="B141" s="248"/>
      <c r="C141" s="248"/>
      <c r="D141" s="248"/>
      <c r="E141" s="247"/>
      <c r="F141" s="255"/>
      <c r="G141" s="626" t="s">
        <v>131</v>
      </c>
      <c r="H141" s="65" t="s">
        <v>132</v>
      </c>
      <c r="I141" s="71" t="s">
        <v>99</v>
      </c>
      <c r="J141" s="69" t="s">
        <v>136</v>
      </c>
      <c r="K141" s="268">
        <v>40746</v>
      </c>
      <c r="L141" s="68" t="s">
        <v>52</v>
      </c>
      <c r="M141" s="360">
        <v>23</v>
      </c>
      <c r="N141" s="344">
        <v>18</v>
      </c>
      <c r="O141" s="631">
        <v>36</v>
      </c>
      <c r="P141" s="632">
        <v>6</v>
      </c>
      <c r="Q141" s="330">
        <f>47685+27229.5+17697.5+18612+19593.5+16691+6089.5+2551.5+2254+4358+2609+1310+356+168+150+121+69+36</f>
        <v>167580.5</v>
      </c>
      <c r="R141" s="334">
        <f>4321+2419+2108+2430+2448+2072+892+397+346+639+377+205+49+24+23+19+11+6</f>
        <v>18786</v>
      </c>
      <c r="S141" s="421">
        <v>40907</v>
      </c>
    </row>
    <row r="142" spans="1:19" ht="10.5" customHeight="1">
      <c r="A142" s="235"/>
      <c r="B142" s="235"/>
      <c r="C142" s="248"/>
      <c r="D142" s="235"/>
      <c r="E142" s="247"/>
      <c r="F142" s="247"/>
      <c r="G142" s="635" t="s">
        <v>156</v>
      </c>
      <c r="H142" s="68" t="s">
        <v>129</v>
      </c>
      <c r="I142" s="68" t="s">
        <v>79</v>
      </c>
      <c r="J142" s="68" t="s">
        <v>130</v>
      </c>
      <c r="K142" s="268">
        <v>40893</v>
      </c>
      <c r="L142" s="68" t="s">
        <v>13</v>
      </c>
      <c r="M142" s="325">
        <v>2</v>
      </c>
      <c r="N142" s="326">
        <v>3</v>
      </c>
      <c r="O142" s="392">
        <v>1807</v>
      </c>
      <c r="P142" s="612">
        <v>178</v>
      </c>
      <c r="Q142" s="333">
        <v>9740</v>
      </c>
      <c r="R142" s="334">
        <v>753</v>
      </c>
      <c r="S142" s="421">
        <v>40907</v>
      </c>
    </row>
    <row r="143" spans="1:19" ht="10.5" customHeight="1">
      <c r="A143" s="235"/>
      <c r="B143" s="235"/>
      <c r="C143" s="235"/>
      <c r="D143" s="235"/>
      <c r="E143" s="239"/>
      <c r="F143" s="247"/>
      <c r="G143" s="635" t="s">
        <v>156</v>
      </c>
      <c r="H143" s="68" t="s">
        <v>129</v>
      </c>
      <c r="I143" s="68" t="s">
        <v>79</v>
      </c>
      <c r="J143" s="68" t="s">
        <v>130</v>
      </c>
      <c r="K143" s="268">
        <v>40893</v>
      </c>
      <c r="L143" s="68" t="s">
        <v>13</v>
      </c>
      <c r="M143" s="309">
        <v>2</v>
      </c>
      <c r="N143" s="454">
        <v>4</v>
      </c>
      <c r="O143" s="610">
        <v>757</v>
      </c>
      <c r="P143" s="611">
        <v>72</v>
      </c>
      <c r="Q143" s="424">
        <v>10497</v>
      </c>
      <c r="R143" s="425">
        <v>825</v>
      </c>
      <c r="S143" s="266">
        <v>40914</v>
      </c>
    </row>
    <row r="144" spans="1:19" ht="10.5" customHeight="1">
      <c r="A144" s="235"/>
      <c r="B144" s="235"/>
      <c r="C144" s="248"/>
      <c r="D144" s="235"/>
      <c r="E144" s="247"/>
      <c r="F144" s="247"/>
      <c r="G144" s="618" t="s">
        <v>249</v>
      </c>
      <c r="H144" s="68" t="s">
        <v>250</v>
      </c>
      <c r="I144" s="68" t="s">
        <v>79</v>
      </c>
      <c r="J144" s="68" t="s">
        <v>243</v>
      </c>
      <c r="K144" s="269">
        <v>40718</v>
      </c>
      <c r="L144" s="68" t="s">
        <v>13</v>
      </c>
      <c r="M144" s="434">
        <v>5</v>
      </c>
      <c r="N144" s="326">
        <v>14</v>
      </c>
      <c r="O144" s="392">
        <v>1188</v>
      </c>
      <c r="P144" s="612">
        <v>237</v>
      </c>
      <c r="Q144" s="333">
        <v>30216.25</v>
      </c>
      <c r="R144" s="334">
        <v>3201</v>
      </c>
      <c r="S144" s="421">
        <v>40907</v>
      </c>
    </row>
    <row r="145" spans="1:19" ht="10.5" customHeight="1">
      <c r="A145" s="248"/>
      <c r="B145" s="248"/>
      <c r="C145" s="248"/>
      <c r="D145" s="248"/>
      <c r="E145" s="247"/>
      <c r="F145" s="237" t="s">
        <v>54</v>
      </c>
      <c r="G145" s="625" t="s">
        <v>106</v>
      </c>
      <c r="H145" s="65" t="s">
        <v>114</v>
      </c>
      <c r="I145" s="65"/>
      <c r="J145" s="65" t="s">
        <v>106</v>
      </c>
      <c r="K145" s="268">
        <v>40879</v>
      </c>
      <c r="L145" s="68" t="s">
        <v>8</v>
      </c>
      <c r="M145" s="325">
        <v>39</v>
      </c>
      <c r="N145" s="340">
        <v>5</v>
      </c>
      <c r="O145" s="388">
        <v>6888</v>
      </c>
      <c r="P145" s="605">
        <v>1032</v>
      </c>
      <c r="Q145" s="343">
        <v>207860</v>
      </c>
      <c r="R145" s="348">
        <v>22859</v>
      </c>
      <c r="S145" s="421">
        <v>40907</v>
      </c>
    </row>
    <row r="146" spans="1:19" ht="10.5" customHeight="1">
      <c r="A146" s="235"/>
      <c r="B146" s="235"/>
      <c r="C146" s="235"/>
      <c r="D146" s="235"/>
      <c r="E146" s="239"/>
      <c r="F146" s="237" t="s">
        <v>54</v>
      </c>
      <c r="G146" s="625" t="s">
        <v>106</v>
      </c>
      <c r="H146" s="65" t="s">
        <v>114</v>
      </c>
      <c r="I146" s="65"/>
      <c r="J146" s="65" t="s">
        <v>106</v>
      </c>
      <c r="K146" s="268">
        <v>40879</v>
      </c>
      <c r="L146" s="68" t="s">
        <v>8</v>
      </c>
      <c r="M146" s="309">
        <v>39</v>
      </c>
      <c r="N146" s="260">
        <v>6</v>
      </c>
      <c r="O146" s="606">
        <v>5509</v>
      </c>
      <c r="P146" s="607">
        <v>890</v>
      </c>
      <c r="Q146" s="419">
        <v>213369</v>
      </c>
      <c r="R146" s="420">
        <v>23749</v>
      </c>
      <c r="S146" s="266">
        <v>40914</v>
      </c>
    </row>
    <row r="147" spans="1:19" ht="10.5" customHeight="1">
      <c r="A147" s="470"/>
      <c r="B147" s="470"/>
      <c r="C147" s="470"/>
      <c r="D147" s="470"/>
      <c r="E147" s="471"/>
      <c r="F147" s="474" t="s">
        <v>54</v>
      </c>
      <c r="G147" s="625" t="s">
        <v>106</v>
      </c>
      <c r="H147" s="65" t="s">
        <v>114</v>
      </c>
      <c r="I147" s="65"/>
      <c r="J147" s="65" t="s">
        <v>106</v>
      </c>
      <c r="K147" s="268">
        <v>40879</v>
      </c>
      <c r="L147" s="68" t="s">
        <v>8</v>
      </c>
      <c r="M147" s="325">
        <v>39</v>
      </c>
      <c r="N147" s="340">
        <v>8</v>
      </c>
      <c r="O147" s="388">
        <v>5216</v>
      </c>
      <c r="P147" s="605">
        <v>689</v>
      </c>
      <c r="Q147" s="343">
        <v>223515</v>
      </c>
      <c r="R147" s="348">
        <v>25285</v>
      </c>
      <c r="S147" s="266">
        <v>40928</v>
      </c>
    </row>
    <row r="148" spans="1:19" ht="10.5" customHeight="1">
      <c r="A148" s="235"/>
      <c r="B148" s="235"/>
      <c r="C148" s="235"/>
      <c r="D148" s="235"/>
      <c r="E148" s="239"/>
      <c r="F148" s="237" t="s">
        <v>54</v>
      </c>
      <c r="G148" s="625" t="s">
        <v>106</v>
      </c>
      <c r="H148" s="65" t="s">
        <v>114</v>
      </c>
      <c r="I148" s="65"/>
      <c r="J148" s="65" t="s">
        <v>106</v>
      </c>
      <c r="K148" s="268">
        <v>40879</v>
      </c>
      <c r="L148" s="68" t="s">
        <v>8</v>
      </c>
      <c r="M148" s="325">
        <v>39</v>
      </c>
      <c r="N148" s="340">
        <v>7</v>
      </c>
      <c r="O148" s="637">
        <v>4931</v>
      </c>
      <c r="P148" s="638">
        <v>847</v>
      </c>
      <c r="Q148" s="343">
        <v>216338</v>
      </c>
      <c r="R148" s="348">
        <v>24246</v>
      </c>
      <c r="S148" s="266">
        <v>40921</v>
      </c>
    </row>
    <row r="149" spans="1:19" ht="10.5" customHeight="1">
      <c r="A149" s="251"/>
      <c r="B149" s="251"/>
      <c r="C149" s="235"/>
      <c r="D149" s="251"/>
      <c r="E149" s="239"/>
      <c r="F149" s="247"/>
      <c r="G149" s="635" t="s">
        <v>374</v>
      </c>
      <c r="H149" s="65" t="s">
        <v>376</v>
      </c>
      <c r="I149" s="68" t="s">
        <v>260</v>
      </c>
      <c r="J149" s="68" t="s">
        <v>375</v>
      </c>
      <c r="K149" s="268">
        <v>40921</v>
      </c>
      <c r="L149" s="68" t="s">
        <v>332</v>
      </c>
      <c r="M149" s="325">
        <v>16</v>
      </c>
      <c r="N149" s="326">
        <v>1</v>
      </c>
      <c r="O149" s="392">
        <v>63901</v>
      </c>
      <c r="P149" s="612">
        <v>5127</v>
      </c>
      <c r="Q149" s="333">
        <v>38005.5</v>
      </c>
      <c r="R149" s="334">
        <v>2857</v>
      </c>
      <c r="S149" s="266">
        <v>40921</v>
      </c>
    </row>
    <row r="150" spans="1:19" ht="10.5" customHeight="1">
      <c r="A150" s="248"/>
      <c r="B150" s="248"/>
      <c r="C150" s="241">
        <v>2</v>
      </c>
      <c r="D150" s="242" t="s">
        <v>292</v>
      </c>
      <c r="E150" s="247"/>
      <c r="F150" s="247"/>
      <c r="G150" s="604" t="s">
        <v>222</v>
      </c>
      <c r="H150" s="65" t="s">
        <v>213</v>
      </c>
      <c r="I150" s="66" t="s">
        <v>94</v>
      </c>
      <c r="J150" s="67" t="s">
        <v>222</v>
      </c>
      <c r="K150" s="269">
        <v>40900</v>
      </c>
      <c r="L150" s="68" t="s">
        <v>12</v>
      </c>
      <c r="M150" s="325">
        <v>184</v>
      </c>
      <c r="N150" s="326">
        <v>2</v>
      </c>
      <c r="O150" s="386">
        <v>1211019</v>
      </c>
      <c r="P150" s="628">
        <v>123420</v>
      </c>
      <c r="Q150" s="335">
        <v>3864182</v>
      </c>
      <c r="R150" s="336">
        <v>381786</v>
      </c>
      <c r="S150" s="421">
        <v>40907</v>
      </c>
    </row>
    <row r="151" spans="1:19" ht="10.5" customHeight="1">
      <c r="A151" s="235"/>
      <c r="B151" s="235"/>
      <c r="C151" s="241">
        <v>2</v>
      </c>
      <c r="D151" s="242" t="s">
        <v>292</v>
      </c>
      <c r="E151" s="239"/>
      <c r="F151" s="239"/>
      <c r="G151" s="604" t="s">
        <v>222</v>
      </c>
      <c r="H151" s="65" t="s">
        <v>213</v>
      </c>
      <c r="I151" s="66" t="s">
        <v>94</v>
      </c>
      <c r="J151" s="67" t="s">
        <v>222</v>
      </c>
      <c r="K151" s="269">
        <v>40900</v>
      </c>
      <c r="L151" s="68" t="s">
        <v>12</v>
      </c>
      <c r="M151" s="309">
        <v>184</v>
      </c>
      <c r="N151" s="263">
        <v>3</v>
      </c>
      <c r="O151" s="610">
        <v>924297</v>
      </c>
      <c r="P151" s="611">
        <v>89902</v>
      </c>
      <c r="Q151" s="424">
        <v>4788479</v>
      </c>
      <c r="R151" s="425">
        <v>471688</v>
      </c>
      <c r="S151" s="266">
        <v>40914</v>
      </c>
    </row>
    <row r="152" spans="1:19" ht="10.5" customHeight="1">
      <c r="A152" s="235"/>
      <c r="B152" s="235"/>
      <c r="C152" s="241">
        <v>2</v>
      </c>
      <c r="D152" s="242" t="s">
        <v>292</v>
      </c>
      <c r="E152" s="239"/>
      <c r="F152" s="239"/>
      <c r="G152" s="604" t="s">
        <v>222</v>
      </c>
      <c r="H152" s="65" t="s">
        <v>213</v>
      </c>
      <c r="I152" s="66" t="s">
        <v>94</v>
      </c>
      <c r="J152" s="67" t="s">
        <v>222</v>
      </c>
      <c r="K152" s="269">
        <v>40900</v>
      </c>
      <c r="L152" s="68" t="s">
        <v>12</v>
      </c>
      <c r="M152" s="325">
        <v>184</v>
      </c>
      <c r="N152" s="326">
        <v>4</v>
      </c>
      <c r="O152" s="392">
        <v>703674</v>
      </c>
      <c r="P152" s="612">
        <v>71922</v>
      </c>
      <c r="Q152" s="335">
        <v>5494639</v>
      </c>
      <c r="R152" s="336">
        <v>543827</v>
      </c>
      <c r="S152" s="266">
        <v>40921</v>
      </c>
    </row>
    <row r="153" spans="1:19" ht="10.5" customHeight="1">
      <c r="A153" s="470"/>
      <c r="B153" s="470"/>
      <c r="C153" s="485">
        <v>2</v>
      </c>
      <c r="D153" s="481" t="s">
        <v>292</v>
      </c>
      <c r="E153" s="471"/>
      <c r="F153" s="471"/>
      <c r="G153" s="604" t="s">
        <v>222</v>
      </c>
      <c r="H153" s="65" t="s">
        <v>213</v>
      </c>
      <c r="I153" s="66" t="s">
        <v>94</v>
      </c>
      <c r="J153" s="67" t="s">
        <v>222</v>
      </c>
      <c r="K153" s="269">
        <v>40900</v>
      </c>
      <c r="L153" s="68" t="s">
        <v>12</v>
      </c>
      <c r="M153" s="325">
        <v>184</v>
      </c>
      <c r="N153" s="326">
        <v>5</v>
      </c>
      <c r="O153" s="392">
        <v>600850</v>
      </c>
      <c r="P153" s="612">
        <v>60840</v>
      </c>
      <c r="Q153" s="333">
        <v>6097023</v>
      </c>
      <c r="R153" s="334">
        <v>604730</v>
      </c>
      <c r="S153" s="266">
        <v>40928</v>
      </c>
    </row>
    <row r="154" spans="1:19" ht="10.5" customHeight="1">
      <c r="A154" s="248"/>
      <c r="B154" s="248"/>
      <c r="C154" s="248"/>
      <c r="D154" s="248"/>
      <c r="E154" s="451"/>
      <c r="F154" s="391"/>
      <c r="G154" s="635" t="s">
        <v>117</v>
      </c>
      <c r="H154" s="65" t="s">
        <v>118</v>
      </c>
      <c r="I154" s="68" t="s">
        <v>95</v>
      </c>
      <c r="J154" s="68" t="s">
        <v>119</v>
      </c>
      <c r="K154" s="380">
        <v>40886</v>
      </c>
      <c r="L154" s="68" t="s">
        <v>10</v>
      </c>
      <c r="M154" s="325">
        <v>25</v>
      </c>
      <c r="N154" s="344">
        <v>4</v>
      </c>
      <c r="O154" s="388">
        <v>7798</v>
      </c>
      <c r="P154" s="605">
        <v>1075</v>
      </c>
      <c r="Q154" s="343">
        <v>410245</v>
      </c>
      <c r="R154" s="348">
        <v>32354</v>
      </c>
      <c r="S154" s="421">
        <v>40907</v>
      </c>
    </row>
    <row r="155" spans="1:19" ht="10.5" customHeight="1">
      <c r="A155" s="470"/>
      <c r="B155" s="470"/>
      <c r="C155" s="470"/>
      <c r="D155" s="470"/>
      <c r="E155" s="543"/>
      <c r="F155" s="548"/>
      <c r="G155" s="635" t="s">
        <v>117</v>
      </c>
      <c r="H155" s="65" t="s">
        <v>118</v>
      </c>
      <c r="I155" s="68" t="s">
        <v>95</v>
      </c>
      <c r="J155" s="68" t="s">
        <v>119</v>
      </c>
      <c r="K155" s="380">
        <v>40886</v>
      </c>
      <c r="L155" s="68" t="s">
        <v>10</v>
      </c>
      <c r="M155" s="325">
        <v>25</v>
      </c>
      <c r="N155" s="344">
        <v>7</v>
      </c>
      <c r="O155" s="388">
        <v>6602</v>
      </c>
      <c r="P155" s="605">
        <v>811</v>
      </c>
      <c r="Q155" s="343">
        <v>422285</v>
      </c>
      <c r="R155" s="348">
        <v>34230</v>
      </c>
      <c r="S155" s="266">
        <v>40928</v>
      </c>
    </row>
    <row r="156" spans="1:19" ht="10.5" customHeight="1">
      <c r="A156" s="235"/>
      <c r="B156" s="235"/>
      <c r="C156" s="235"/>
      <c r="D156" s="235"/>
      <c r="E156" s="236"/>
      <c r="F156" s="244"/>
      <c r="G156" s="635" t="s">
        <v>117</v>
      </c>
      <c r="H156" s="65" t="s">
        <v>118</v>
      </c>
      <c r="I156" s="68" t="s">
        <v>95</v>
      </c>
      <c r="J156" s="68" t="s">
        <v>119</v>
      </c>
      <c r="K156" s="380">
        <v>40886</v>
      </c>
      <c r="L156" s="68" t="s">
        <v>10</v>
      </c>
      <c r="M156" s="309">
        <v>25</v>
      </c>
      <c r="N156" s="264">
        <v>5</v>
      </c>
      <c r="O156" s="606">
        <v>3058</v>
      </c>
      <c r="P156" s="607">
        <v>780</v>
      </c>
      <c r="Q156" s="419">
        <f>410245+3058</f>
        <v>413303</v>
      </c>
      <c r="R156" s="420">
        <f>32354+780</f>
        <v>33134</v>
      </c>
      <c r="S156" s="266">
        <v>40914</v>
      </c>
    </row>
    <row r="157" spans="1:19" ht="10.5" customHeight="1">
      <c r="A157" s="235"/>
      <c r="B157" s="235"/>
      <c r="C157" s="235"/>
      <c r="D157" s="235"/>
      <c r="E157" s="236"/>
      <c r="F157" s="244"/>
      <c r="G157" s="635" t="s">
        <v>117</v>
      </c>
      <c r="H157" s="65" t="s">
        <v>118</v>
      </c>
      <c r="I157" s="68" t="s">
        <v>95</v>
      </c>
      <c r="J157" s="68" t="s">
        <v>119</v>
      </c>
      <c r="K157" s="380">
        <v>40886</v>
      </c>
      <c r="L157" s="68" t="s">
        <v>10</v>
      </c>
      <c r="M157" s="325">
        <v>25</v>
      </c>
      <c r="N157" s="344">
        <v>6</v>
      </c>
      <c r="O157" s="388">
        <v>2380</v>
      </c>
      <c r="P157" s="605">
        <v>285</v>
      </c>
      <c r="Q157" s="343">
        <v>415683</v>
      </c>
      <c r="R157" s="348">
        <v>33419</v>
      </c>
      <c r="S157" s="266">
        <v>40921</v>
      </c>
    </row>
    <row r="158" spans="1:19" ht="10.5" customHeight="1">
      <c r="A158" s="482" t="s">
        <v>223</v>
      </c>
      <c r="B158" s="470"/>
      <c r="C158" s="540"/>
      <c r="D158" s="470"/>
      <c r="E158" s="471"/>
      <c r="F158" s="472"/>
      <c r="G158" s="604" t="s">
        <v>451</v>
      </c>
      <c r="H158" s="67" t="s">
        <v>468</v>
      </c>
      <c r="I158" s="67" t="s">
        <v>89</v>
      </c>
      <c r="J158" s="67" t="s">
        <v>459</v>
      </c>
      <c r="K158" s="268">
        <v>40781</v>
      </c>
      <c r="L158" s="68" t="s">
        <v>68</v>
      </c>
      <c r="M158" s="325">
        <v>96</v>
      </c>
      <c r="N158" s="326">
        <v>17</v>
      </c>
      <c r="O158" s="388">
        <v>3564</v>
      </c>
      <c r="P158" s="605">
        <v>892</v>
      </c>
      <c r="Q158" s="343">
        <f>29056+844874+618474.25+386880.75+207889+130968.5+129398.5+101615+71628.5+47296.5+22263.5+13505+4171.5+5940+3840+5098.5+8056+3564</f>
        <v>2634519.5</v>
      </c>
      <c r="R158" s="348">
        <f>4385+80857+63348+40336+22079+15879+16790+12949+9380+7537+4227+2497+926+1486+944+1206+1963+892</f>
        <v>287681</v>
      </c>
      <c r="S158" s="266">
        <v>40928</v>
      </c>
    </row>
    <row r="159" spans="1:19" ht="10.5" customHeight="1">
      <c r="A159" s="441"/>
      <c r="B159" s="441"/>
      <c r="C159" s="248"/>
      <c r="D159" s="242" t="s">
        <v>292</v>
      </c>
      <c r="E159" s="247"/>
      <c r="F159" s="237" t="s">
        <v>54</v>
      </c>
      <c r="G159" s="625" t="s">
        <v>110</v>
      </c>
      <c r="H159" s="65" t="s">
        <v>113</v>
      </c>
      <c r="I159" s="65"/>
      <c r="J159" s="65" t="s">
        <v>110</v>
      </c>
      <c r="K159" s="268">
        <v>40879</v>
      </c>
      <c r="L159" s="68" t="s">
        <v>53</v>
      </c>
      <c r="M159" s="325">
        <v>135</v>
      </c>
      <c r="N159" s="353">
        <v>5</v>
      </c>
      <c r="O159" s="389">
        <v>197271.5</v>
      </c>
      <c r="P159" s="614">
        <v>25625</v>
      </c>
      <c r="Q159" s="354">
        <f>1709882.25+1194489.75+708906.5+376327+70+197271.5</f>
        <v>4186947</v>
      </c>
      <c r="R159" s="355">
        <f>195314+135261+80447+45395+10+25625</f>
        <v>482052</v>
      </c>
      <c r="S159" s="421">
        <v>40907</v>
      </c>
    </row>
    <row r="160" spans="1:19" ht="10.5" customHeight="1">
      <c r="A160" s="251"/>
      <c r="B160" s="251"/>
      <c r="C160" s="235"/>
      <c r="D160" s="242" t="s">
        <v>292</v>
      </c>
      <c r="E160" s="247"/>
      <c r="F160" s="237" t="s">
        <v>54</v>
      </c>
      <c r="G160" s="625" t="s">
        <v>110</v>
      </c>
      <c r="H160" s="65" t="s">
        <v>113</v>
      </c>
      <c r="I160" s="65"/>
      <c r="J160" s="65" t="s">
        <v>110</v>
      </c>
      <c r="K160" s="268">
        <v>40879</v>
      </c>
      <c r="L160" s="68" t="s">
        <v>53</v>
      </c>
      <c r="M160" s="309">
        <v>135</v>
      </c>
      <c r="N160" s="429">
        <v>6</v>
      </c>
      <c r="O160" s="615">
        <v>73341.5</v>
      </c>
      <c r="P160" s="611">
        <v>10302</v>
      </c>
      <c r="Q160" s="431">
        <f>1709882.25+1194489.75+708906.5+376327+70+197271.5+73341.5</f>
        <v>4260288.5</v>
      </c>
      <c r="R160" s="425">
        <f>195314+135261+80447+45395+10+25625+10302</f>
        <v>492354</v>
      </c>
      <c r="S160" s="266">
        <v>40914</v>
      </c>
    </row>
    <row r="161" spans="1:19" ht="10.5" customHeight="1">
      <c r="A161" s="251"/>
      <c r="B161" s="251"/>
      <c r="C161" s="235"/>
      <c r="D161" s="242" t="s">
        <v>292</v>
      </c>
      <c r="E161" s="247"/>
      <c r="F161" s="237" t="s">
        <v>54</v>
      </c>
      <c r="G161" s="625" t="s">
        <v>110</v>
      </c>
      <c r="H161" s="65" t="s">
        <v>113</v>
      </c>
      <c r="I161" s="65"/>
      <c r="J161" s="65" t="s">
        <v>110</v>
      </c>
      <c r="K161" s="268">
        <v>40879</v>
      </c>
      <c r="L161" s="68" t="s">
        <v>53</v>
      </c>
      <c r="M161" s="325">
        <v>135</v>
      </c>
      <c r="N161" s="353">
        <v>7</v>
      </c>
      <c r="O161" s="392">
        <v>70692.5</v>
      </c>
      <c r="P161" s="612">
        <v>10950</v>
      </c>
      <c r="Q161" s="354">
        <f>1709882.25+1194489.75+708906.5+376327+70+197271.5+73341.5+70692.5</f>
        <v>4330981</v>
      </c>
      <c r="R161" s="355">
        <f>195314+135261+80447+45395+10+25625+10302+10950</f>
        <v>503304</v>
      </c>
      <c r="S161" s="266">
        <v>40921</v>
      </c>
    </row>
    <row r="162" spans="1:19" ht="10.5" customHeight="1">
      <c r="A162" s="540"/>
      <c r="B162" s="540"/>
      <c r="C162" s="470"/>
      <c r="D162" s="481" t="s">
        <v>292</v>
      </c>
      <c r="E162" s="472"/>
      <c r="F162" s="474" t="s">
        <v>54</v>
      </c>
      <c r="G162" s="625" t="s">
        <v>110</v>
      </c>
      <c r="H162" s="65" t="s">
        <v>113</v>
      </c>
      <c r="I162" s="65"/>
      <c r="J162" s="65" t="s">
        <v>110</v>
      </c>
      <c r="K162" s="268">
        <v>40879</v>
      </c>
      <c r="L162" s="68" t="s">
        <v>53</v>
      </c>
      <c r="M162" s="325">
        <v>135</v>
      </c>
      <c r="N162" s="510">
        <v>8</v>
      </c>
      <c r="O162" s="392">
        <v>50480.5</v>
      </c>
      <c r="P162" s="612">
        <v>7727</v>
      </c>
      <c r="Q162" s="333">
        <f>1709882.25+1194489.75+708906.5+376327+70+197271.5+73341.5+70692.5+50480.5</f>
        <v>4381461.5</v>
      </c>
      <c r="R162" s="334">
        <f>195314+135261+80447+45395+10+25625+10302+10950+7727</f>
        <v>511031</v>
      </c>
      <c r="S162" s="266">
        <v>40928</v>
      </c>
    </row>
    <row r="163" spans="1:19" ht="10.5" customHeight="1">
      <c r="A163" s="248"/>
      <c r="B163" s="248"/>
      <c r="C163" s="248"/>
      <c r="D163" s="248"/>
      <c r="E163" s="247"/>
      <c r="F163" s="237" t="s">
        <v>54</v>
      </c>
      <c r="G163" s="613" t="s">
        <v>148</v>
      </c>
      <c r="H163" s="68" t="s">
        <v>112</v>
      </c>
      <c r="I163" s="68"/>
      <c r="J163" s="68" t="s">
        <v>148</v>
      </c>
      <c r="K163" s="268">
        <v>40900</v>
      </c>
      <c r="L163" s="68" t="s">
        <v>52</v>
      </c>
      <c r="M163" s="356">
        <v>14</v>
      </c>
      <c r="N163" s="344">
        <v>2</v>
      </c>
      <c r="O163" s="631">
        <v>19458.5</v>
      </c>
      <c r="P163" s="632">
        <v>1850</v>
      </c>
      <c r="Q163" s="330">
        <f>43848.5+19458.5</f>
        <v>63307</v>
      </c>
      <c r="R163" s="334">
        <f>3764+1850</f>
        <v>5614</v>
      </c>
      <c r="S163" s="421">
        <v>40907</v>
      </c>
    </row>
    <row r="164" spans="1:19" ht="10.5" customHeight="1">
      <c r="A164" s="470"/>
      <c r="B164" s="470"/>
      <c r="C164" s="470"/>
      <c r="D164" s="470"/>
      <c r="E164" s="471"/>
      <c r="F164" s="474" t="s">
        <v>54</v>
      </c>
      <c r="G164" s="613" t="s">
        <v>148</v>
      </c>
      <c r="H164" s="68" t="s">
        <v>112</v>
      </c>
      <c r="I164" s="68"/>
      <c r="J164" s="68" t="s">
        <v>148</v>
      </c>
      <c r="K164" s="268">
        <v>40900</v>
      </c>
      <c r="L164" s="68" t="s">
        <v>52</v>
      </c>
      <c r="M164" s="356">
        <v>14</v>
      </c>
      <c r="N164" s="344">
        <v>5</v>
      </c>
      <c r="O164" s="631">
        <v>5447</v>
      </c>
      <c r="P164" s="632">
        <v>752</v>
      </c>
      <c r="Q164" s="330">
        <f>43848.5+19458.5+4777+1091+5447</f>
        <v>74622</v>
      </c>
      <c r="R164" s="334">
        <f>3764+1850+439+142+752</f>
        <v>6947</v>
      </c>
      <c r="S164" s="266">
        <v>40928</v>
      </c>
    </row>
    <row r="165" spans="1:19" ht="10.5" customHeight="1">
      <c r="A165" s="235"/>
      <c r="B165" s="235"/>
      <c r="C165" s="235"/>
      <c r="D165" s="235"/>
      <c r="E165" s="239"/>
      <c r="F165" s="237" t="s">
        <v>54</v>
      </c>
      <c r="G165" s="613" t="s">
        <v>148</v>
      </c>
      <c r="H165" s="68" t="s">
        <v>112</v>
      </c>
      <c r="I165" s="68"/>
      <c r="J165" s="68" t="s">
        <v>148</v>
      </c>
      <c r="K165" s="268">
        <v>40900</v>
      </c>
      <c r="L165" s="68" t="s">
        <v>52</v>
      </c>
      <c r="M165" s="311">
        <v>14</v>
      </c>
      <c r="N165" s="264">
        <v>3</v>
      </c>
      <c r="O165" s="629">
        <v>4777</v>
      </c>
      <c r="P165" s="630">
        <v>439</v>
      </c>
      <c r="Q165" s="447">
        <f>43848.5+19458.5+4777</f>
        <v>68084</v>
      </c>
      <c r="R165" s="448">
        <f>3764+1850+439</f>
        <v>6053</v>
      </c>
      <c r="S165" s="266">
        <v>40914</v>
      </c>
    </row>
    <row r="166" spans="1:19" ht="10.5" customHeight="1">
      <c r="A166" s="235"/>
      <c r="B166" s="235"/>
      <c r="C166" s="235"/>
      <c r="D166" s="235"/>
      <c r="E166" s="239"/>
      <c r="F166" s="237" t="s">
        <v>54</v>
      </c>
      <c r="G166" s="613" t="s">
        <v>148</v>
      </c>
      <c r="H166" s="68" t="s">
        <v>112</v>
      </c>
      <c r="I166" s="68"/>
      <c r="J166" s="68" t="s">
        <v>148</v>
      </c>
      <c r="K166" s="268">
        <v>40900</v>
      </c>
      <c r="L166" s="68" t="s">
        <v>52</v>
      </c>
      <c r="M166" s="356">
        <v>14</v>
      </c>
      <c r="N166" s="344">
        <v>4</v>
      </c>
      <c r="O166" s="394">
        <v>1091</v>
      </c>
      <c r="P166" s="633">
        <v>142</v>
      </c>
      <c r="Q166" s="349">
        <f>43848.5+19458.5+4777+1091</f>
        <v>69175</v>
      </c>
      <c r="R166" s="334">
        <f>3764+1850+439+142</f>
        <v>6195</v>
      </c>
      <c r="S166" s="266">
        <v>40921</v>
      </c>
    </row>
    <row r="167" spans="1:19" ht="10.5" customHeight="1">
      <c r="A167" s="248"/>
      <c r="B167" s="248"/>
      <c r="C167" s="248"/>
      <c r="D167" s="248"/>
      <c r="E167" s="234"/>
      <c r="F167" s="234"/>
      <c r="G167" s="639" t="s">
        <v>214</v>
      </c>
      <c r="H167" s="70" t="s">
        <v>216</v>
      </c>
      <c r="I167" s="68" t="s">
        <v>95</v>
      </c>
      <c r="J167" s="70" t="s">
        <v>215</v>
      </c>
      <c r="K167" s="268">
        <v>40907</v>
      </c>
      <c r="L167" s="68" t="s">
        <v>10</v>
      </c>
      <c r="M167" s="356">
        <v>64</v>
      </c>
      <c r="N167" s="344">
        <v>1</v>
      </c>
      <c r="O167" s="388">
        <v>361708</v>
      </c>
      <c r="P167" s="605">
        <v>32009</v>
      </c>
      <c r="Q167" s="343">
        <v>361708</v>
      </c>
      <c r="R167" s="348">
        <v>32009</v>
      </c>
      <c r="S167" s="421">
        <v>40907</v>
      </c>
    </row>
    <row r="168" spans="1:19" ht="10.5" customHeight="1">
      <c r="A168" s="235"/>
      <c r="B168" s="235"/>
      <c r="C168" s="235"/>
      <c r="D168" s="235"/>
      <c r="E168" s="239"/>
      <c r="F168" s="239"/>
      <c r="G168" s="639" t="s">
        <v>214</v>
      </c>
      <c r="H168" s="70" t="s">
        <v>216</v>
      </c>
      <c r="I168" s="68" t="s">
        <v>95</v>
      </c>
      <c r="J168" s="70" t="s">
        <v>215</v>
      </c>
      <c r="K168" s="268">
        <v>40907</v>
      </c>
      <c r="L168" s="68" t="s">
        <v>10</v>
      </c>
      <c r="M168" s="311">
        <v>64</v>
      </c>
      <c r="N168" s="264">
        <v>2</v>
      </c>
      <c r="O168" s="606">
        <f>235686+726</f>
        <v>236412</v>
      </c>
      <c r="P168" s="607">
        <f>20261+65</f>
        <v>20326</v>
      </c>
      <c r="Q168" s="419">
        <f>361708+235686+726</f>
        <v>598120</v>
      </c>
      <c r="R168" s="420">
        <f>32009+20261+65</f>
        <v>52335</v>
      </c>
      <c r="S168" s="266">
        <v>40914</v>
      </c>
    </row>
    <row r="169" spans="1:19" ht="10.5" customHeight="1">
      <c r="A169" s="235"/>
      <c r="B169" s="235"/>
      <c r="C169" s="235"/>
      <c r="D169" s="235"/>
      <c r="E169" s="239"/>
      <c r="F169" s="239"/>
      <c r="G169" s="639" t="s">
        <v>214</v>
      </c>
      <c r="H169" s="70" t="s">
        <v>216</v>
      </c>
      <c r="I169" s="68" t="s">
        <v>95</v>
      </c>
      <c r="J169" s="70" t="s">
        <v>215</v>
      </c>
      <c r="K169" s="268">
        <v>40907</v>
      </c>
      <c r="L169" s="68" t="s">
        <v>10</v>
      </c>
      <c r="M169" s="356">
        <v>64</v>
      </c>
      <c r="N169" s="344">
        <v>3</v>
      </c>
      <c r="O169" s="388">
        <v>63689</v>
      </c>
      <c r="P169" s="605">
        <v>5622</v>
      </c>
      <c r="Q169" s="343">
        <v>661809</v>
      </c>
      <c r="R169" s="348">
        <v>57957</v>
      </c>
      <c r="S169" s="266">
        <v>40921</v>
      </c>
    </row>
    <row r="170" spans="1:19" ht="10.5" customHeight="1">
      <c r="A170" s="482" t="s">
        <v>223</v>
      </c>
      <c r="B170" s="470"/>
      <c r="C170" s="540"/>
      <c r="D170" s="470"/>
      <c r="E170" s="475" t="s">
        <v>55</v>
      </c>
      <c r="F170" s="472"/>
      <c r="G170" s="604" t="s">
        <v>452</v>
      </c>
      <c r="H170" s="67" t="s">
        <v>456</v>
      </c>
      <c r="I170" s="67" t="s">
        <v>89</v>
      </c>
      <c r="J170" s="67" t="s">
        <v>460</v>
      </c>
      <c r="K170" s="268">
        <v>39864</v>
      </c>
      <c r="L170" s="68" t="s">
        <v>68</v>
      </c>
      <c r="M170" s="325">
        <v>55</v>
      </c>
      <c r="N170" s="432">
        <v>37</v>
      </c>
      <c r="O170" s="388">
        <v>2852</v>
      </c>
      <c r="P170" s="605">
        <v>713</v>
      </c>
      <c r="Q170" s="343">
        <f>190777.5+154065+60826.5+20820+23589+29712+19396.5+16102+12940+11034+3005+981+1140+40+98.25+284+1000+300+220+1211.5+155+156+63+1780+5228+1780+450+952+145+640+2445+2376+2376+2376+4752+2376+2852</f>
        <v>578444.25</v>
      </c>
      <c r="R170" s="348">
        <f>20518+17650+7809+3283+4115+5826+3911+3770+2981+2505+653+199+194+8+18+60+100+75+44+292+22+22+19+445+1307+445+75+238+29+128+383+594+594+594+1188+594+713</f>
        <v>81401</v>
      </c>
      <c r="S170" s="266">
        <v>40928</v>
      </c>
    </row>
    <row r="171" spans="1:19" ht="10.5" customHeight="1">
      <c r="A171" s="250"/>
      <c r="B171" s="250"/>
      <c r="C171" s="235"/>
      <c r="D171" s="250"/>
      <c r="E171" s="239"/>
      <c r="F171" s="239"/>
      <c r="G171" s="617" t="s">
        <v>291</v>
      </c>
      <c r="H171" s="70" t="s">
        <v>296</v>
      </c>
      <c r="I171" s="68" t="s">
        <v>260</v>
      </c>
      <c r="J171" s="70" t="s">
        <v>295</v>
      </c>
      <c r="K171" s="268">
        <v>40830</v>
      </c>
      <c r="L171" s="68" t="s">
        <v>10</v>
      </c>
      <c r="M171" s="311">
        <v>62</v>
      </c>
      <c r="N171" s="264">
        <v>11</v>
      </c>
      <c r="O171" s="606">
        <v>1610</v>
      </c>
      <c r="P171" s="607">
        <v>249</v>
      </c>
      <c r="Q171" s="419">
        <f>1594092+1610</f>
        <v>1595702</v>
      </c>
      <c r="R171" s="420">
        <f>149626+249</f>
        <v>149875</v>
      </c>
      <c r="S171" s="266">
        <v>40914</v>
      </c>
    </row>
    <row r="172" spans="1:19" ht="10.5" customHeight="1">
      <c r="A172" s="259"/>
      <c r="B172" s="259"/>
      <c r="C172" s="248"/>
      <c r="D172" s="259"/>
      <c r="E172" s="234"/>
      <c r="F172" s="234"/>
      <c r="G172" s="617" t="s">
        <v>291</v>
      </c>
      <c r="H172" s="70" t="s">
        <v>296</v>
      </c>
      <c r="I172" s="68" t="s">
        <v>260</v>
      </c>
      <c r="J172" s="70" t="s">
        <v>295</v>
      </c>
      <c r="K172" s="268">
        <v>40830</v>
      </c>
      <c r="L172" s="68" t="s">
        <v>10</v>
      </c>
      <c r="M172" s="356">
        <v>62</v>
      </c>
      <c r="N172" s="344">
        <v>11</v>
      </c>
      <c r="O172" s="388">
        <v>1190</v>
      </c>
      <c r="P172" s="605">
        <v>170</v>
      </c>
      <c r="Q172" s="343">
        <v>1594092</v>
      </c>
      <c r="R172" s="348">
        <v>149626</v>
      </c>
      <c r="S172" s="421">
        <v>40907</v>
      </c>
    </row>
    <row r="173" spans="1:19" ht="10.5" customHeight="1">
      <c r="A173" s="250"/>
      <c r="B173" s="250"/>
      <c r="C173" s="235"/>
      <c r="D173" s="250"/>
      <c r="E173" s="239"/>
      <c r="F173" s="239"/>
      <c r="G173" s="617" t="s">
        <v>291</v>
      </c>
      <c r="H173" s="70" t="s">
        <v>296</v>
      </c>
      <c r="I173" s="68" t="s">
        <v>260</v>
      </c>
      <c r="J173" s="70" t="s">
        <v>295</v>
      </c>
      <c r="K173" s="268">
        <v>40830</v>
      </c>
      <c r="L173" s="68" t="s">
        <v>10</v>
      </c>
      <c r="M173" s="356">
        <v>62</v>
      </c>
      <c r="N173" s="344">
        <v>13</v>
      </c>
      <c r="O173" s="388">
        <v>612</v>
      </c>
      <c r="P173" s="605">
        <v>102</v>
      </c>
      <c r="Q173" s="343">
        <v>1596314</v>
      </c>
      <c r="R173" s="348">
        <v>149977</v>
      </c>
      <c r="S173" s="266">
        <v>40921</v>
      </c>
    </row>
    <row r="174" spans="1:19" ht="10.5" customHeight="1">
      <c r="A174" s="245" t="s">
        <v>223</v>
      </c>
      <c r="B174" s="235"/>
      <c r="C174" s="242" t="s">
        <v>292</v>
      </c>
      <c r="D174" s="235"/>
      <c r="E174" s="246" t="s">
        <v>55</v>
      </c>
      <c r="F174" s="247"/>
      <c r="G174" s="604" t="s">
        <v>358</v>
      </c>
      <c r="H174" s="67" t="s">
        <v>360</v>
      </c>
      <c r="I174" s="69"/>
      <c r="J174" s="67" t="s">
        <v>359</v>
      </c>
      <c r="K174" s="268">
        <v>39829</v>
      </c>
      <c r="L174" s="68" t="s">
        <v>68</v>
      </c>
      <c r="M174" s="309">
        <v>65</v>
      </c>
      <c r="N174" s="416">
        <v>44</v>
      </c>
      <c r="O174" s="606">
        <v>1424</v>
      </c>
      <c r="P174" s="607">
        <v>356</v>
      </c>
      <c r="Q174" s="419">
        <f>237023+244842+160469+47021+21536+18820+18020.5+26440+10695+9162.5+9870+6322+1787+2032+757+348+420.5+158+4053+339.5+3161.5+1729.5+752+1417+1780+64+1208+952+552+139.5+544+40+8072+1780+1424+1780+440+1780+1188+2612+952+712+4276+1424</f>
        <v>858895.5</v>
      </c>
      <c r="R174" s="420">
        <f>25678+28966+21290+6590+4890+3520+3479+4786+1907+1716+2388+1533+368+541+126+70+67+48+991+81+743+414+155+169+445+16+302+238+117+23+48+12+2018+445+356+445+55+445+297+653+238+178+1069+356</f>
        <v>118272</v>
      </c>
      <c r="S174" s="266">
        <v>40914</v>
      </c>
    </row>
    <row r="175" spans="1:19" ht="10.5" customHeight="1">
      <c r="A175" s="248"/>
      <c r="B175" s="248"/>
      <c r="C175" s="248"/>
      <c r="D175" s="242" t="s">
        <v>292</v>
      </c>
      <c r="E175" s="234"/>
      <c r="F175" s="234"/>
      <c r="G175" s="608" t="s">
        <v>65</v>
      </c>
      <c r="H175" s="72" t="s">
        <v>91</v>
      </c>
      <c r="I175" s="66" t="s">
        <v>94</v>
      </c>
      <c r="J175" s="72" t="s">
        <v>65</v>
      </c>
      <c r="K175" s="269">
        <v>40837</v>
      </c>
      <c r="L175" s="68" t="s">
        <v>12</v>
      </c>
      <c r="M175" s="325">
        <v>112</v>
      </c>
      <c r="N175" s="326">
        <v>11</v>
      </c>
      <c r="O175" s="386">
        <v>4349</v>
      </c>
      <c r="P175" s="628">
        <v>651</v>
      </c>
      <c r="Q175" s="335">
        <v>2336338</v>
      </c>
      <c r="R175" s="336">
        <v>245652</v>
      </c>
      <c r="S175" s="421">
        <v>40907</v>
      </c>
    </row>
    <row r="176" spans="1:19" ht="10.5" customHeight="1">
      <c r="A176" s="470"/>
      <c r="B176" s="470"/>
      <c r="C176" s="470"/>
      <c r="D176" s="481" t="s">
        <v>292</v>
      </c>
      <c r="E176" s="471"/>
      <c r="F176" s="471"/>
      <c r="G176" s="608" t="s">
        <v>65</v>
      </c>
      <c r="H176" s="72" t="s">
        <v>91</v>
      </c>
      <c r="I176" s="66" t="s">
        <v>94</v>
      </c>
      <c r="J176" s="72" t="s">
        <v>65</v>
      </c>
      <c r="K176" s="269">
        <v>40837</v>
      </c>
      <c r="L176" s="68" t="s">
        <v>12</v>
      </c>
      <c r="M176" s="325">
        <v>112</v>
      </c>
      <c r="N176" s="326">
        <v>14</v>
      </c>
      <c r="O176" s="392">
        <v>3941</v>
      </c>
      <c r="P176" s="612">
        <v>554</v>
      </c>
      <c r="Q176" s="333">
        <v>2341282</v>
      </c>
      <c r="R176" s="334">
        <v>246371</v>
      </c>
      <c r="S176" s="266">
        <v>40928</v>
      </c>
    </row>
    <row r="177" spans="1:19" ht="10.5" customHeight="1">
      <c r="A177" s="235"/>
      <c r="B177" s="235"/>
      <c r="C177" s="235"/>
      <c r="D177" s="242" t="s">
        <v>292</v>
      </c>
      <c r="E177" s="239"/>
      <c r="F177" s="239"/>
      <c r="G177" s="608" t="s">
        <v>65</v>
      </c>
      <c r="H177" s="72" t="s">
        <v>91</v>
      </c>
      <c r="I177" s="66" t="s">
        <v>94</v>
      </c>
      <c r="J177" s="72" t="s">
        <v>65</v>
      </c>
      <c r="K177" s="269">
        <v>40837</v>
      </c>
      <c r="L177" s="68" t="s">
        <v>12</v>
      </c>
      <c r="M177" s="309">
        <v>112</v>
      </c>
      <c r="N177" s="263">
        <v>12</v>
      </c>
      <c r="O177" s="610">
        <v>1003</v>
      </c>
      <c r="P177" s="611">
        <v>165</v>
      </c>
      <c r="Q177" s="424">
        <v>2337341</v>
      </c>
      <c r="R177" s="425">
        <v>245817</v>
      </c>
      <c r="S177" s="266">
        <v>40914</v>
      </c>
    </row>
    <row r="178" spans="1:19" ht="10.5" customHeight="1">
      <c r="A178" s="248"/>
      <c r="B178" s="248"/>
      <c r="C178" s="248"/>
      <c r="D178" s="248"/>
      <c r="E178" s="247"/>
      <c r="F178" s="247"/>
      <c r="G178" s="604" t="s">
        <v>154</v>
      </c>
      <c r="H178" s="65" t="s">
        <v>194</v>
      </c>
      <c r="I178" s="69" t="s">
        <v>79</v>
      </c>
      <c r="J178" s="67" t="s">
        <v>155</v>
      </c>
      <c r="K178" s="269">
        <v>40781</v>
      </c>
      <c r="L178" s="68" t="s">
        <v>68</v>
      </c>
      <c r="M178" s="325">
        <v>25</v>
      </c>
      <c r="N178" s="326">
        <v>16</v>
      </c>
      <c r="O178" s="388">
        <v>3841</v>
      </c>
      <c r="P178" s="605">
        <v>653</v>
      </c>
      <c r="Q178" s="343">
        <f>144733+112570+56967.5+34113.5+30823.5+33890.5+41306+25896.5+24762.5+2776+2376+588+744+1788+950.5+3841</f>
        <v>518126.5</v>
      </c>
      <c r="R178" s="348">
        <f>11669+10065+5619+3946+3929+4284+5351+3682+3657+420+594+249+124+397+237+653</f>
        <v>54876</v>
      </c>
      <c r="S178" s="421">
        <v>40907</v>
      </c>
    </row>
    <row r="179" spans="1:19" ht="10.5" customHeight="1">
      <c r="A179" s="235"/>
      <c r="B179" s="235"/>
      <c r="C179" s="235"/>
      <c r="D179" s="235"/>
      <c r="E179" s="239"/>
      <c r="F179" s="239"/>
      <c r="G179" s="604" t="s">
        <v>154</v>
      </c>
      <c r="H179" s="65" t="s">
        <v>194</v>
      </c>
      <c r="I179" s="69" t="s">
        <v>79</v>
      </c>
      <c r="J179" s="67" t="s">
        <v>155</v>
      </c>
      <c r="K179" s="269">
        <v>40781</v>
      </c>
      <c r="L179" s="68" t="s">
        <v>68</v>
      </c>
      <c r="M179" s="309">
        <v>25</v>
      </c>
      <c r="N179" s="416">
        <v>17</v>
      </c>
      <c r="O179" s="606">
        <v>1705</v>
      </c>
      <c r="P179" s="607">
        <v>271</v>
      </c>
      <c r="Q179" s="419">
        <f>144733+112570+56967.5+34113.5+30823.5+33890.5+41306+25896.5+24762.5+2776+2376+588+744+1788+950.5+3841+1705</f>
        <v>519831.5</v>
      </c>
      <c r="R179" s="420">
        <f>11669+10065+5619+3946+3929+4284+5351+3682+3657+420+594+249+124+397+237+653+271</f>
        <v>55147</v>
      </c>
      <c r="S179" s="266">
        <v>40914</v>
      </c>
    </row>
    <row r="180" spans="1:19" ht="10.5" customHeight="1">
      <c r="A180" s="235"/>
      <c r="B180" s="235"/>
      <c r="C180" s="235"/>
      <c r="D180" s="235"/>
      <c r="E180" s="239"/>
      <c r="F180" s="239"/>
      <c r="G180" s="604" t="s">
        <v>154</v>
      </c>
      <c r="H180" s="65" t="s">
        <v>194</v>
      </c>
      <c r="I180" s="69" t="s">
        <v>79</v>
      </c>
      <c r="J180" s="67" t="s">
        <v>155</v>
      </c>
      <c r="K180" s="269">
        <v>40781</v>
      </c>
      <c r="L180" s="68" t="s">
        <v>68</v>
      </c>
      <c r="M180" s="325">
        <v>25</v>
      </c>
      <c r="N180" s="326">
        <v>17</v>
      </c>
      <c r="O180" s="388">
        <v>854</v>
      </c>
      <c r="P180" s="605">
        <v>126</v>
      </c>
      <c r="Q180" s="343">
        <f>144733+112570+56967.5+34113.5+30823.5+33890.5+41306+25896.5+24762.5+2776+2376+588+744+1788+950.5+3841+1705+854</f>
        <v>520685.5</v>
      </c>
      <c r="R180" s="348">
        <f>11669+10065+5619+3946+3929+4284+5351+3682+3657+420+594+249+124+397+237+653+271+126</f>
        <v>55273</v>
      </c>
      <c r="S180" s="266">
        <v>40921</v>
      </c>
    </row>
    <row r="181" spans="1:19" ht="10.5" customHeight="1">
      <c r="A181" s="235"/>
      <c r="B181" s="235"/>
      <c r="C181" s="235"/>
      <c r="D181" s="235"/>
      <c r="E181" s="246" t="s">
        <v>55</v>
      </c>
      <c r="F181" s="247"/>
      <c r="G181" s="604" t="s">
        <v>355</v>
      </c>
      <c r="H181" s="67" t="s">
        <v>365</v>
      </c>
      <c r="I181" s="67" t="s">
        <v>85</v>
      </c>
      <c r="J181" s="67" t="s">
        <v>362</v>
      </c>
      <c r="K181" s="268">
        <v>40347</v>
      </c>
      <c r="L181" s="68" t="s">
        <v>68</v>
      </c>
      <c r="M181" s="325">
        <v>66</v>
      </c>
      <c r="N181" s="326">
        <v>34</v>
      </c>
      <c r="O181" s="388">
        <v>2138.5</v>
      </c>
      <c r="P181" s="605">
        <v>535</v>
      </c>
      <c r="Q181" s="343">
        <f>478213+7083+3309.5+6055+4900+8378+4378.5+2349+3103+2074+7679.5+6108+2991.5+2180+2234+642+2775.5+1757+1151+3382+60+1782+2851+1188+713+286+2138.5+2138.5</f>
        <v>561900.5</v>
      </c>
      <c r="R181" s="348">
        <f>55327+1259+553+1133+756+1285+650+408+682+334+1688+1394+539+483+475+201+677+260+202+852+20+445+712+297+178+67+535+535</f>
        <v>71947</v>
      </c>
      <c r="S181" s="266">
        <v>40921</v>
      </c>
    </row>
    <row r="182" spans="1:19" ht="10.5" customHeight="1">
      <c r="A182" s="235"/>
      <c r="B182" s="235"/>
      <c r="C182" s="235"/>
      <c r="D182" s="235"/>
      <c r="E182" s="246" t="s">
        <v>55</v>
      </c>
      <c r="F182" s="247"/>
      <c r="G182" s="604" t="s">
        <v>355</v>
      </c>
      <c r="H182" s="67" t="s">
        <v>365</v>
      </c>
      <c r="I182" s="67" t="s">
        <v>85</v>
      </c>
      <c r="J182" s="67" t="s">
        <v>362</v>
      </c>
      <c r="K182" s="268">
        <v>40347</v>
      </c>
      <c r="L182" s="68" t="s">
        <v>68</v>
      </c>
      <c r="M182" s="309">
        <v>66</v>
      </c>
      <c r="N182" s="416">
        <v>34</v>
      </c>
      <c r="O182" s="606">
        <v>2138.5</v>
      </c>
      <c r="P182" s="607">
        <v>535</v>
      </c>
      <c r="Q182" s="419">
        <f>478213+7083+3309.5+6055+4900+8378+4378.5+2349+3103+2074+7679.5+6108+2991.5+2180+2234+642+2775.5+1757+1151+3382+60+1782+2851+1188+713+286+2138.5</f>
        <v>559762</v>
      </c>
      <c r="R182" s="420">
        <f>55327+1259+553+1133+756+1285+650+408+682+334+1688+1394+539+483+475+201+677+260+202+852+20+445+712+297+178+67+535</f>
        <v>71412</v>
      </c>
      <c r="S182" s="266">
        <v>40914</v>
      </c>
    </row>
    <row r="183" spans="1:19" ht="10.5" customHeight="1">
      <c r="A183" s="470"/>
      <c r="B183" s="470"/>
      <c r="C183" s="470"/>
      <c r="D183" s="470"/>
      <c r="E183" s="475" t="s">
        <v>55</v>
      </c>
      <c r="F183" s="472"/>
      <c r="G183" s="604" t="s">
        <v>355</v>
      </c>
      <c r="H183" s="67" t="s">
        <v>365</v>
      </c>
      <c r="I183" s="67" t="s">
        <v>85</v>
      </c>
      <c r="J183" s="67" t="s">
        <v>362</v>
      </c>
      <c r="K183" s="268">
        <v>40347</v>
      </c>
      <c r="L183" s="68" t="s">
        <v>68</v>
      </c>
      <c r="M183" s="325">
        <v>66</v>
      </c>
      <c r="N183" s="326">
        <v>34</v>
      </c>
      <c r="O183" s="388">
        <v>2138.5</v>
      </c>
      <c r="P183" s="605">
        <v>535</v>
      </c>
      <c r="Q183" s="343">
        <f>478213+7083+3309.5+6055+4900+8378+4378.5+2349+3103+2074+7679.5+6108+2991.5+2180+2234+642+2775.5+1757+1151+3382+60+1782+2851+1188+713+286+2138.5+2138.5+2138.5</f>
        <v>564039</v>
      </c>
      <c r="R183" s="348">
        <f>55327+1259+553+1133+756+1285+650+408+682+334+1688+1394+539+483+475+201+677+260+202+852+20+445+712+297+178+67+535+535+535</f>
        <v>72482</v>
      </c>
      <c r="S183" s="266">
        <v>40928</v>
      </c>
    </row>
    <row r="184" spans="1:19" ht="10.5" customHeight="1">
      <c r="A184" s="245" t="s">
        <v>223</v>
      </c>
      <c r="B184" s="254">
        <v>3</v>
      </c>
      <c r="C184" s="241">
        <v>2</v>
      </c>
      <c r="D184" s="235"/>
      <c r="E184" s="246" t="s">
        <v>55</v>
      </c>
      <c r="F184" s="239"/>
      <c r="G184" s="604" t="s">
        <v>383</v>
      </c>
      <c r="H184" s="65" t="s">
        <v>217</v>
      </c>
      <c r="I184" s="69" t="s">
        <v>94</v>
      </c>
      <c r="J184" s="67" t="s">
        <v>384</v>
      </c>
      <c r="K184" s="268">
        <v>40921</v>
      </c>
      <c r="L184" s="68" t="s">
        <v>12</v>
      </c>
      <c r="M184" s="325">
        <v>101</v>
      </c>
      <c r="N184" s="326">
        <v>1</v>
      </c>
      <c r="O184" s="392">
        <v>2186377</v>
      </c>
      <c r="P184" s="612">
        <v>209171</v>
      </c>
      <c r="Q184" s="357">
        <v>2186377</v>
      </c>
      <c r="R184" s="336">
        <v>209171</v>
      </c>
      <c r="S184" s="266">
        <v>40921</v>
      </c>
    </row>
    <row r="185" spans="1:19" ht="10.5" customHeight="1">
      <c r="A185" s="248"/>
      <c r="B185" s="248"/>
      <c r="C185" s="248"/>
      <c r="D185" s="248"/>
      <c r="E185" s="246" t="s">
        <v>55</v>
      </c>
      <c r="F185" s="234"/>
      <c r="G185" s="608" t="s">
        <v>198</v>
      </c>
      <c r="H185" s="65" t="s">
        <v>208</v>
      </c>
      <c r="I185" s="72" t="s">
        <v>94</v>
      </c>
      <c r="J185" s="72" t="s">
        <v>198</v>
      </c>
      <c r="K185" s="268">
        <v>40606</v>
      </c>
      <c r="L185" s="68" t="s">
        <v>12</v>
      </c>
      <c r="M185" s="325">
        <v>104</v>
      </c>
      <c r="N185" s="326">
        <v>44</v>
      </c>
      <c r="O185" s="387">
        <v>297</v>
      </c>
      <c r="P185" s="609">
        <v>59</v>
      </c>
      <c r="Q185" s="357">
        <v>1287202</v>
      </c>
      <c r="R185" s="336">
        <v>133558</v>
      </c>
      <c r="S185" s="421">
        <v>40907</v>
      </c>
    </row>
    <row r="186" spans="1:19" ht="10.5" customHeight="1">
      <c r="A186" s="235"/>
      <c r="B186" s="235"/>
      <c r="C186" s="235"/>
      <c r="D186" s="248"/>
      <c r="E186" s="246" t="s">
        <v>55</v>
      </c>
      <c r="F186" s="234"/>
      <c r="G186" s="608" t="s">
        <v>197</v>
      </c>
      <c r="H186" s="65" t="s">
        <v>209</v>
      </c>
      <c r="I186" s="72" t="s">
        <v>94</v>
      </c>
      <c r="J186" s="72" t="s">
        <v>201</v>
      </c>
      <c r="K186" s="268">
        <v>40823</v>
      </c>
      <c r="L186" s="68" t="s">
        <v>12</v>
      </c>
      <c r="M186" s="309">
        <v>105</v>
      </c>
      <c r="N186" s="263">
        <v>14</v>
      </c>
      <c r="O186" s="610">
        <v>2631</v>
      </c>
      <c r="P186" s="611">
        <v>391</v>
      </c>
      <c r="Q186" s="424">
        <v>1141116</v>
      </c>
      <c r="R186" s="425">
        <v>122643</v>
      </c>
      <c r="S186" s="266">
        <v>40914</v>
      </c>
    </row>
    <row r="187" spans="1:19" ht="10.5" customHeight="1">
      <c r="A187" s="248"/>
      <c r="B187" s="248"/>
      <c r="C187" s="248"/>
      <c r="D187" s="248"/>
      <c r="E187" s="246" t="s">
        <v>55</v>
      </c>
      <c r="F187" s="234"/>
      <c r="G187" s="608" t="s">
        <v>197</v>
      </c>
      <c r="H187" s="65" t="s">
        <v>209</v>
      </c>
      <c r="I187" s="72" t="s">
        <v>94</v>
      </c>
      <c r="J187" s="72" t="s">
        <v>201</v>
      </c>
      <c r="K187" s="268">
        <v>40823</v>
      </c>
      <c r="L187" s="68" t="s">
        <v>12</v>
      </c>
      <c r="M187" s="325">
        <v>105</v>
      </c>
      <c r="N187" s="326">
        <v>13</v>
      </c>
      <c r="O187" s="386">
        <v>781</v>
      </c>
      <c r="P187" s="628">
        <v>132</v>
      </c>
      <c r="Q187" s="335">
        <v>1138485</v>
      </c>
      <c r="R187" s="336">
        <v>122252</v>
      </c>
      <c r="S187" s="421">
        <v>40907</v>
      </c>
    </row>
    <row r="188" spans="1:19" ht="10.5" customHeight="1">
      <c r="A188" s="235"/>
      <c r="B188" s="235"/>
      <c r="C188" s="235"/>
      <c r="D188" s="248"/>
      <c r="E188" s="246" t="s">
        <v>55</v>
      </c>
      <c r="F188" s="234"/>
      <c r="G188" s="608" t="s">
        <v>197</v>
      </c>
      <c r="H188" s="65" t="s">
        <v>209</v>
      </c>
      <c r="I188" s="72" t="s">
        <v>94</v>
      </c>
      <c r="J188" s="72" t="s">
        <v>201</v>
      </c>
      <c r="K188" s="268">
        <v>40823</v>
      </c>
      <c r="L188" s="68" t="s">
        <v>12</v>
      </c>
      <c r="M188" s="325">
        <v>105</v>
      </c>
      <c r="N188" s="326">
        <v>15</v>
      </c>
      <c r="O188" s="392">
        <v>639</v>
      </c>
      <c r="P188" s="612">
        <v>93</v>
      </c>
      <c r="Q188" s="335">
        <v>1141755</v>
      </c>
      <c r="R188" s="336">
        <v>122736</v>
      </c>
      <c r="S188" s="266">
        <v>40921</v>
      </c>
    </row>
    <row r="189" spans="1:19" ht="10.5" customHeight="1">
      <c r="A189" s="235"/>
      <c r="B189" s="235"/>
      <c r="C189" s="235"/>
      <c r="D189" s="235"/>
      <c r="E189" s="239"/>
      <c r="F189" s="237" t="s">
        <v>54</v>
      </c>
      <c r="G189" s="625" t="s">
        <v>304</v>
      </c>
      <c r="H189" s="65" t="s">
        <v>112</v>
      </c>
      <c r="I189" s="65"/>
      <c r="J189" s="69" t="s">
        <v>111</v>
      </c>
      <c r="K189" s="268">
        <v>40886</v>
      </c>
      <c r="L189" s="68" t="s">
        <v>52</v>
      </c>
      <c r="M189" s="360">
        <v>8</v>
      </c>
      <c r="N189" s="344">
        <v>5</v>
      </c>
      <c r="O189" s="394">
        <v>1920</v>
      </c>
      <c r="P189" s="633">
        <v>379</v>
      </c>
      <c r="Q189" s="349">
        <f>11392+5145+695+1862+1920</f>
        <v>21014</v>
      </c>
      <c r="R189" s="334">
        <f>1392+701+109+241+379</f>
        <v>2822</v>
      </c>
      <c r="S189" s="266">
        <v>40921</v>
      </c>
    </row>
    <row r="190" spans="1:19" ht="10.5" customHeight="1">
      <c r="A190" s="248"/>
      <c r="B190" s="248"/>
      <c r="C190" s="248"/>
      <c r="D190" s="248"/>
      <c r="E190" s="247"/>
      <c r="F190" s="237" t="s">
        <v>54</v>
      </c>
      <c r="G190" s="625" t="s">
        <v>304</v>
      </c>
      <c r="H190" s="65" t="s">
        <v>112</v>
      </c>
      <c r="I190" s="65"/>
      <c r="J190" s="69" t="s">
        <v>111</v>
      </c>
      <c r="K190" s="268">
        <v>40886</v>
      </c>
      <c r="L190" s="68" t="s">
        <v>52</v>
      </c>
      <c r="M190" s="360">
        <v>8</v>
      </c>
      <c r="N190" s="344">
        <v>4</v>
      </c>
      <c r="O190" s="631">
        <v>1862</v>
      </c>
      <c r="P190" s="632">
        <v>241</v>
      </c>
      <c r="Q190" s="330">
        <f>11392+5145+695+1862</f>
        <v>19094</v>
      </c>
      <c r="R190" s="334">
        <f>1392+701+109+241</f>
        <v>2443</v>
      </c>
      <c r="S190" s="421">
        <v>40907</v>
      </c>
    </row>
    <row r="191" spans="1:19" ht="10.5" customHeight="1">
      <c r="A191" s="470"/>
      <c r="B191" s="476"/>
      <c r="C191" s="470"/>
      <c r="D191" s="470"/>
      <c r="E191" s="471"/>
      <c r="F191" s="471"/>
      <c r="G191" s="604" t="s">
        <v>190</v>
      </c>
      <c r="H191" s="67" t="s">
        <v>195</v>
      </c>
      <c r="I191" s="69" t="s">
        <v>79</v>
      </c>
      <c r="J191" s="67" t="s">
        <v>192</v>
      </c>
      <c r="K191" s="268">
        <v>40816</v>
      </c>
      <c r="L191" s="68" t="s">
        <v>68</v>
      </c>
      <c r="M191" s="325">
        <v>25</v>
      </c>
      <c r="N191" s="326">
        <v>3</v>
      </c>
      <c r="O191" s="388">
        <v>5134</v>
      </c>
      <c r="P191" s="605">
        <v>664</v>
      </c>
      <c r="Q191" s="343">
        <f>80510.5+53296+49611.5+29276.5+2781+46429+5648+1635+6908.5+15320.5+732+943+3320+5134</f>
        <v>301545.5</v>
      </c>
      <c r="R191" s="348">
        <f>8978+6079+6067+4144+482+6937+761+224+842+1960+107+134+565+664</f>
        <v>37944</v>
      </c>
      <c r="S191" s="266">
        <v>40928</v>
      </c>
    </row>
    <row r="192" spans="1:19" ht="10.5" customHeight="1">
      <c r="A192" s="248"/>
      <c r="B192" s="248"/>
      <c r="C192" s="248"/>
      <c r="D192" s="248"/>
      <c r="E192" s="247"/>
      <c r="F192" s="247"/>
      <c r="G192" s="604" t="s">
        <v>190</v>
      </c>
      <c r="H192" s="65" t="s">
        <v>195</v>
      </c>
      <c r="I192" s="69" t="s">
        <v>79</v>
      </c>
      <c r="J192" s="67" t="s">
        <v>192</v>
      </c>
      <c r="K192" s="268">
        <v>40816</v>
      </c>
      <c r="L192" s="68" t="s">
        <v>68</v>
      </c>
      <c r="M192" s="325">
        <v>25</v>
      </c>
      <c r="N192" s="326">
        <v>3</v>
      </c>
      <c r="O192" s="388">
        <v>3320</v>
      </c>
      <c r="P192" s="605">
        <v>565</v>
      </c>
      <c r="Q192" s="343">
        <f>80510.5+53296+49611.5+29276.5+2781+46429+5648+1635+6908.5+15320.5+732+943+3320</f>
        <v>296411.5</v>
      </c>
      <c r="R192" s="348">
        <f>8978+6079+6067+4144+482+6937+761+224+842+1960+107+134+565</f>
        <v>37280</v>
      </c>
      <c r="S192" s="421">
        <v>40907</v>
      </c>
    </row>
    <row r="193" spans="1:19" ht="10.5" customHeight="1">
      <c r="A193" s="470"/>
      <c r="B193" s="470"/>
      <c r="C193" s="470"/>
      <c r="D193" s="470"/>
      <c r="E193" s="475" t="s">
        <v>55</v>
      </c>
      <c r="F193" s="472"/>
      <c r="G193" s="604" t="s">
        <v>354</v>
      </c>
      <c r="H193" s="67" t="s">
        <v>126</v>
      </c>
      <c r="I193" s="69" t="s">
        <v>397</v>
      </c>
      <c r="J193" s="67" t="s">
        <v>354</v>
      </c>
      <c r="K193" s="268">
        <v>40641</v>
      </c>
      <c r="L193" s="68" t="s">
        <v>68</v>
      </c>
      <c r="M193" s="325">
        <v>137</v>
      </c>
      <c r="N193" s="326">
        <v>38</v>
      </c>
      <c r="O193" s="388">
        <v>4989.5</v>
      </c>
      <c r="P193" s="605">
        <v>1248</v>
      </c>
      <c r="Q193" s="343">
        <f>1093950.25+883807.25+882248.49+232093.5+101981.5+57830.5+19947.5+33359.5+10973.5+10465+4630+3501.5+10659+9758.5+3633+5790+6145.5+1329.5+1868.5+1128+2980.5+1299.5+16988+15449+14138+200+1908+7960+4871+1544.5+1533+891+3175+713+425+224+993+2318+3705+4989.5</f>
        <v>3461405.49</v>
      </c>
      <c r="R193" s="348">
        <f>103570+88345+90215+25333+13427+8958+3731+5336+2366+2057+997+691+1831+2140+654+1021+736+207+401+189+424+234+4142+3841+3526+40+471+1991+1218+386+96+56+735+178+84+42+228+1120+1571+1248</f>
        <v>373836</v>
      </c>
      <c r="S193" s="266">
        <v>40928</v>
      </c>
    </row>
    <row r="194" spans="1:19" ht="10.5" customHeight="1">
      <c r="A194" s="235"/>
      <c r="B194" s="235"/>
      <c r="C194" s="235"/>
      <c r="D194" s="235"/>
      <c r="E194" s="246" t="s">
        <v>55</v>
      </c>
      <c r="F194" s="247"/>
      <c r="G194" s="604" t="s">
        <v>354</v>
      </c>
      <c r="H194" s="67" t="s">
        <v>126</v>
      </c>
      <c r="I194" s="69" t="s">
        <v>397</v>
      </c>
      <c r="J194" s="67" t="s">
        <v>354</v>
      </c>
      <c r="K194" s="268">
        <v>40641</v>
      </c>
      <c r="L194" s="68" t="s">
        <v>68</v>
      </c>
      <c r="M194" s="325">
        <v>137</v>
      </c>
      <c r="N194" s="326">
        <v>38</v>
      </c>
      <c r="O194" s="388">
        <v>3705</v>
      </c>
      <c r="P194" s="605">
        <v>1571</v>
      </c>
      <c r="Q194" s="343">
        <f>1093950.25+883807.25+882248.49+232093.5+101981.5+57830.5+19947.5+33359.5+10973.5+10465+4630+3501.5+10659+9758.5+3633+5790+6145.5+1329.5+1868.5+1128+2980.5+1299.5+16988+15449+14138+200+1908+7960+4871+1544.5+1533+891+3175+713+425+224+993+2318+3705</f>
        <v>3456415.99</v>
      </c>
      <c r="R194" s="348">
        <f>103570+88345+90215+25333+13427+8958+3731+5336+2366+2057+997+691+1831+2140+654+1021+736+207+401+189+424+234+4142+3841+3526+40+471+1991+1218+386+96+56+735+178+84+42+228+1120+1571</f>
        <v>372588</v>
      </c>
      <c r="S194" s="266">
        <v>40921</v>
      </c>
    </row>
    <row r="195" spans="1:19" ht="10.5" customHeight="1">
      <c r="A195" s="235"/>
      <c r="B195" s="235"/>
      <c r="C195" s="235"/>
      <c r="D195" s="235"/>
      <c r="E195" s="246" t="s">
        <v>55</v>
      </c>
      <c r="F195" s="247"/>
      <c r="G195" s="604" t="s">
        <v>354</v>
      </c>
      <c r="H195" s="67" t="s">
        <v>126</v>
      </c>
      <c r="I195" s="69"/>
      <c r="J195" s="67" t="s">
        <v>354</v>
      </c>
      <c r="K195" s="268">
        <v>40641</v>
      </c>
      <c r="L195" s="68" t="s">
        <v>68</v>
      </c>
      <c r="M195" s="309">
        <v>137</v>
      </c>
      <c r="N195" s="416">
        <v>38</v>
      </c>
      <c r="O195" s="606">
        <v>2318</v>
      </c>
      <c r="P195" s="607">
        <v>1120</v>
      </c>
      <c r="Q195" s="419">
        <f>1093950.25+883807.25+882248.49+232093.5+101981.5+57830.5+19947.5+33359.5+10973.5+10465+4630+3501.5+10659+9758.5+3633+5790+6145.5+1329.5+1868.5+1128+2980.5+1299.5+16988+15449+14138+200+1908+7960+4871+1544.5+1533+891+3175+713+425+224+993+2318</f>
        <v>3452710.99</v>
      </c>
      <c r="R195" s="420">
        <f>103570+88345+90215+25333+13427+8958+3731+5336+2366+2057+997+691+1831+2140+654+1021+736+207+401+189+424+234+4142+3841+3526+40+471+1991+1218+386+96+56+735+178+84+42+228+1120</f>
        <v>371017</v>
      </c>
      <c r="S195" s="266">
        <v>40914</v>
      </c>
    </row>
    <row r="196" spans="1:19" ht="10.5" customHeight="1">
      <c r="A196" s="235"/>
      <c r="B196" s="235"/>
      <c r="C196" s="235"/>
      <c r="D196" s="235"/>
      <c r="E196" s="239"/>
      <c r="F196" s="237" t="s">
        <v>54</v>
      </c>
      <c r="G196" s="616" t="s">
        <v>356</v>
      </c>
      <c r="H196" s="67" t="s">
        <v>366</v>
      </c>
      <c r="I196" s="69"/>
      <c r="J196" s="67" t="s">
        <v>356</v>
      </c>
      <c r="K196" s="268">
        <v>40795</v>
      </c>
      <c r="L196" s="68" t="s">
        <v>68</v>
      </c>
      <c r="M196" s="309">
        <v>3</v>
      </c>
      <c r="N196" s="416">
        <v>8</v>
      </c>
      <c r="O196" s="606">
        <v>1782</v>
      </c>
      <c r="P196" s="607">
        <v>446</v>
      </c>
      <c r="Q196" s="419">
        <f>4125+2511+398+1048+854+482+594+1782</f>
        <v>11794</v>
      </c>
      <c r="R196" s="420">
        <f>422+287+52+100+134+61+149+446</f>
        <v>1651</v>
      </c>
      <c r="S196" s="266">
        <v>40914</v>
      </c>
    </row>
    <row r="197" spans="1:19" ht="10.5" customHeight="1">
      <c r="A197" s="235"/>
      <c r="B197" s="235"/>
      <c r="C197" s="235"/>
      <c r="D197" s="235"/>
      <c r="E197" s="239"/>
      <c r="F197" s="239"/>
      <c r="G197" s="608" t="s">
        <v>108</v>
      </c>
      <c r="H197" s="65" t="s">
        <v>125</v>
      </c>
      <c r="I197" s="72" t="s">
        <v>124</v>
      </c>
      <c r="J197" s="72" t="s">
        <v>109</v>
      </c>
      <c r="K197" s="268">
        <v>40879</v>
      </c>
      <c r="L197" s="68" t="s">
        <v>12</v>
      </c>
      <c r="M197" s="309">
        <v>38</v>
      </c>
      <c r="N197" s="263">
        <v>6</v>
      </c>
      <c r="O197" s="610">
        <v>10036</v>
      </c>
      <c r="P197" s="611">
        <v>1553</v>
      </c>
      <c r="Q197" s="424">
        <v>481544</v>
      </c>
      <c r="R197" s="425">
        <v>44903</v>
      </c>
      <c r="S197" s="266">
        <v>40914</v>
      </c>
    </row>
    <row r="198" spans="1:19" ht="10.5" customHeight="1">
      <c r="A198" s="248"/>
      <c r="B198" s="248"/>
      <c r="C198" s="248"/>
      <c r="D198" s="248"/>
      <c r="E198" s="234"/>
      <c r="F198" s="234"/>
      <c r="G198" s="608" t="s">
        <v>108</v>
      </c>
      <c r="H198" s="65" t="s">
        <v>125</v>
      </c>
      <c r="I198" s="72" t="s">
        <v>124</v>
      </c>
      <c r="J198" s="72" t="s">
        <v>109</v>
      </c>
      <c r="K198" s="268">
        <v>40879</v>
      </c>
      <c r="L198" s="68" t="s">
        <v>12</v>
      </c>
      <c r="M198" s="325">
        <v>38</v>
      </c>
      <c r="N198" s="326">
        <v>5</v>
      </c>
      <c r="O198" s="387">
        <v>10036</v>
      </c>
      <c r="P198" s="609">
        <v>1553</v>
      </c>
      <c r="Q198" s="357">
        <v>481544</v>
      </c>
      <c r="R198" s="336">
        <v>44903</v>
      </c>
      <c r="S198" s="421">
        <v>40907</v>
      </c>
    </row>
    <row r="199" spans="1:19" ht="10.5" customHeight="1">
      <c r="A199" s="235"/>
      <c r="B199" s="235"/>
      <c r="C199" s="235"/>
      <c r="D199" s="235"/>
      <c r="E199" s="239"/>
      <c r="F199" s="239"/>
      <c r="G199" s="608" t="s">
        <v>108</v>
      </c>
      <c r="H199" s="65" t="s">
        <v>125</v>
      </c>
      <c r="I199" s="72" t="s">
        <v>124</v>
      </c>
      <c r="J199" s="72" t="s">
        <v>109</v>
      </c>
      <c r="K199" s="268">
        <v>40879</v>
      </c>
      <c r="L199" s="68" t="s">
        <v>12</v>
      </c>
      <c r="M199" s="325">
        <v>38</v>
      </c>
      <c r="N199" s="326">
        <v>7</v>
      </c>
      <c r="O199" s="392">
        <v>3119</v>
      </c>
      <c r="P199" s="612">
        <v>502</v>
      </c>
      <c r="Q199" s="357">
        <v>491017</v>
      </c>
      <c r="R199" s="336">
        <v>46303</v>
      </c>
      <c r="S199" s="266">
        <v>40921</v>
      </c>
    </row>
    <row r="200" spans="1:19" ht="10.5" customHeight="1">
      <c r="A200" s="470"/>
      <c r="B200" s="470"/>
      <c r="C200" s="470"/>
      <c r="D200" s="470"/>
      <c r="E200" s="471"/>
      <c r="F200" s="471"/>
      <c r="G200" s="608" t="s">
        <v>108</v>
      </c>
      <c r="H200" s="65" t="s">
        <v>125</v>
      </c>
      <c r="I200" s="72" t="s">
        <v>124</v>
      </c>
      <c r="J200" s="72" t="s">
        <v>109</v>
      </c>
      <c r="K200" s="268">
        <v>40879</v>
      </c>
      <c r="L200" s="68" t="s">
        <v>12</v>
      </c>
      <c r="M200" s="325">
        <v>38</v>
      </c>
      <c r="N200" s="326">
        <v>8</v>
      </c>
      <c r="O200" s="392">
        <v>2304</v>
      </c>
      <c r="P200" s="612">
        <v>366</v>
      </c>
      <c r="Q200" s="333">
        <v>493321</v>
      </c>
      <c r="R200" s="334">
        <v>46669</v>
      </c>
      <c r="S200" s="266">
        <v>40928</v>
      </c>
    </row>
    <row r="201" spans="1:19" ht="10.5" customHeight="1">
      <c r="A201" s="248"/>
      <c r="B201" s="254">
        <v>3</v>
      </c>
      <c r="C201" s="248"/>
      <c r="D201" s="235"/>
      <c r="E201" s="247"/>
      <c r="F201" s="247"/>
      <c r="G201" s="639" t="s">
        <v>147</v>
      </c>
      <c r="H201" s="68" t="s">
        <v>166</v>
      </c>
      <c r="I201" s="68" t="s">
        <v>99</v>
      </c>
      <c r="J201" s="68" t="s">
        <v>153</v>
      </c>
      <c r="K201" s="268">
        <v>40900</v>
      </c>
      <c r="L201" s="68" t="s">
        <v>52</v>
      </c>
      <c r="M201" s="356">
        <v>69</v>
      </c>
      <c r="N201" s="344">
        <v>2</v>
      </c>
      <c r="O201" s="631">
        <v>100865</v>
      </c>
      <c r="P201" s="632">
        <v>10455</v>
      </c>
      <c r="Q201" s="330">
        <f>247246+100865</f>
        <v>348111</v>
      </c>
      <c r="R201" s="334">
        <f>24388+10455</f>
        <v>34843</v>
      </c>
      <c r="S201" s="421">
        <v>40907</v>
      </c>
    </row>
    <row r="202" spans="1:19" ht="10.5" customHeight="1">
      <c r="A202" s="248"/>
      <c r="B202" s="254">
        <v>3</v>
      </c>
      <c r="C202" s="235"/>
      <c r="D202" s="235"/>
      <c r="E202" s="239"/>
      <c r="F202" s="239"/>
      <c r="G202" s="639" t="s">
        <v>147</v>
      </c>
      <c r="H202" s="68" t="s">
        <v>166</v>
      </c>
      <c r="I202" s="68" t="s">
        <v>99</v>
      </c>
      <c r="J202" s="68" t="s">
        <v>153</v>
      </c>
      <c r="K202" s="268">
        <v>40900</v>
      </c>
      <c r="L202" s="68" t="s">
        <v>52</v>
      </c>
      <c r="M202" s="311">
        <v>69</v>
      </c>
      <c r="N202" s="264">
        <v>3</v>
      </c>
      <c r="O202" s="629">
        <v>4174</v>
      </c>
      <c r="P202" s="630">
        <v>350</v>
      </c>
      <c r="Q202" s="447">
        <f>247246+100865+4174</f>
        <v>352285</v>
      </c>
      <c r="R202" s="448">
        <f>24388+10455+350</f>
        <v>35193</v>
      </c>
      <c r="S202" s="266">
        <v>40914</v>
      </c>
    </row>
    <row r="203" spans="1:19" ht="10.5" customHeight="1">
      <c r="A203" s="248"/>
      <c r="B203" s="254">
        <v>3</v>
      </c>
      <c r="C203" s="235"/>
      <c r="D203" s="235"/>
      <c r="E203" s="239"/>
      <c r="F203" s="239"/>
      <c r="G203" s="639" t="s">
        <v>147</v>
      </c>
      <c r="H203" s="68" t="s">
        <v>166</v>
      </c>
      <c r="I203" s="68" t="s">
        <v>99</v>
      </c>
      <c r="J203" s="68" t="s">
        <v>153</v>
      </c>
      <c r="K203" s="268">
        <v>40900</v>
      </c>
      <c r="L203" s="68" t="s">
        <v>52</v>
      </c>
      <c r="M203" s="356">
        <v>69</v>
      </c>
      <c r="N203" s="344">
        <v>4</v>
      </c>
      <c r="O203" s="394">
        <v>1569</v>
      </c>
      <c r="P203" s="633">
        <v>207</v>
      </c>
      <c r="Q203" s="349">
        <f>247246+100865+4174+1569</f>
        <v>353854</v>
      </c>
      <c r="R203" s="334">
        <f>24388+10455+350+207</f>
        <v>35400</v>
      </c>
      <c r="S203" s="266">
        <v>40921</v>
      </c>
    </row>
    <row r="204" spans="1:19" ht="10.5" customHeight="1">
      <c r="A204" s="248"/>
      <c r="B204" s="248"/>
      <c r="C204" s="248"/>
      <c r="D204" s="242" t="s">
        <v>292</v>
      </c>
      <c r="E204" s="451"/>
      <c r="F204" s="391"/>
      <c r="G204" s="635" t="s">
        <v>221</v>
      </c>
      <c r="H204" s="65" t="s">
        <v>96</v>
      </c>
      <c r="I204" s="68" t="s">
        <v>95</v>
      </c>
      <c r="J204" s="68" t="s">
        <v>146</v>
      </c>
      <c r="K204" s="269">
        <v>40893</v>
      </c>
      <c r="L204" s="68" t="s">
        <v>10</v>
      </c>
      <c r="M204" s="325">
        <v>133</v>
      </c>
      <c r="N204" s="344">
        <v>3</v>
      </c>
      <c r="O204" s="388">
        <v>916701</v>
      </c>
      <c r="P204" s="605">
        <v>91574</v>
      </c>
      <c r="Q204" s="343">
        <v>5181376</v>
      </c>
      <c r="R204" s="348">
        <v>509965</v>
      </c>
      <c r="S204" s="421">
        <v>40907</v>
      </c>
    </row>
    <row r="205" spans="1:19" ht="10.5" customHeight="1">
      <c r="A205" s="235"/>
      <c r="B205" s="235"/>
      <c r="C205" s="235"/>
      <c r="D205" s="242" t="s">
        <v>292</v>
      </c>
      <c r="E205" s="236"/>
      <c r="F205" s="244"/>
      <c r="G205" s="608" t="s">
        <v>221</v>
      </c>
      <c r="H205" s="65" t="s">
        <v>96</v>
      </c>
      <c r="I205" s="68" t="s">
        <v>95</v>
      </c>
      <c r="J205" s="68" t="s">
        <v>146</v>
      </c>
      <c r="K205" s="269">
        <v>40893</v>
      </c>
      <c r="L205" s="68" t="s">
        <v>10</v>
      </c>
      <c r="M205" s="309">
        <v>133</v>
      </c>
      <c r="N205" s="264">
        <v>4</v>
      </c>
      <c r="O205" s="606">
        <f>765772+1082</f>
        <v>766854</v>
      </c>
      <c r="P205" s="607">
        <f>73798+89</f>
        <v>73887</v>
      </c>
      <c r="Q205" s="419">
        <f>5181376+765772+1082</f>
        <v>5948230</v>
      </c>
      <c r="R205" s="420">
        <f>509965+73798+89</f>
        <v>583852</v>
      </c>
      <c r="S205" s="266">
        <v>40914</v>
      </c>
    </row>
    <row r="206" spans="1:19" ht="10.5" customHeight="1">
      <c r="A206" s="235"/>
      <c r="B206" s="235"/>
      <c r="C206" s="235"/>
      <c r="D206" s="242" t="s">
        <v>292</v>
      </c>
      <c r="E206" s="236"/>
      <c r="F206" s="244"/>
      <c r="G206" s="608" t="s">
        <v>221</v>
      </c>
      <c r="H206" s="65" t="s">
        <v>96</v>
      </c>
      <c r="I206" s="68" t="s">
        <v>95</v>
      </c>
      <c r="J206" s="68" t="s">
        <v>146</v>
      </c>
      <c r="K206" s="269">
        <v>40893</v>
      </c>
      <c r="L206" s="68" t="s">
        <v>10</v>
      </c>
      <c r="M206" s="325">
        <v>133</v>
      </c>
      <c r="N206" s="344">
        <v>5</v>
      </c>
      <c r="O206" s="388">
        <v>564431</v>
      </c>
      <c r="P206" s="605">
        <v>57561</v>
      </c>
      <c r="Q206" s="343">
        <v>6512661</v>
      </c>
      <c r="R206" s="348">
        <v>641413</v>
      </c>
      <c r="S206" s="266">
        <v>40921</v>
      </c>
    </row>
    <row r="207" spans="1:19" ht="10.5" customHeight="1">
      <c r="A207" s="470"/>
      <c r="B207" s="470"/>
      <c r="C207" s="470"/>
      <c r="D207" s="481" t="s">
        <v>292</v>
      </c>
      <c r="E207" s="543"/>
      <c r="F207" s="548"/>
      <c r="G207" s="608" t="s">
        <v>221</v>
      </c>
      <c r="H207" s="65" t="s">
        <v>96</v>
      </c>
      <c r="I207" s="68" t="s">
        <v>95</v>
      </c>
      <c r="J207" s="68" t="s">
        <v>146</v>
      </c>
      <c r="K207" s="269">
        <v>40893</v>
      </c>
      <c r="L207" s="68" t="s">
        <v>10</v>
      </c>
      <c r="M207" s="325">
        <v>133</v>
      </c>
      <c r="N207" s="344">
        <v>6</v>
      </c>
      <c r="O207" s="388">
        <v>474772</v>
      </c>
      <c r="P207" s="605">
        <v>47798</v>
      </c>
      <c r="Q207" s="343">
        <v>6987433</v>
      </c>
      <c r="R207" s="348">
        <v>689211</v>
      </c>
      <c r="S207" s="266">
        <v>40928</v>
      </c>
    </row>
    <row r="208" spans="1:19" ht="10.5" customHeight="1">
      <c r="A208" s="470"/>
      <c r="B208" s="470"/>
      <c r="C208" s="540"/>
      <c r="D208" s="470"/>
      <c r="E208" s="471"/>
      <c r="F208" s="472"/>
      <c r="G208" s="604" t="s">
        <v>455</v>
      </c>
      <c r="H208" s="67" t="s">
        <v>469</v>
      </c>
      <c r="I208" s="67" t="s">
        <v>89</v>
      </c>
      <c r="J208" s="67" t="s">
        <v>463</v>
      </c>
      <c r="K208" s="268">
        <v>40753</v>
      </c>
      <c r="L208" s="68" t="s">
        <v>68</v>
      </c>
      <c r="M208" s="325">
        <v>13</v>
      </c>
      <c r="N208" s="326">
        <v>14</v>
      </c>
      <c r="O208" s="388">
        <v>810</v>
      </c>
      <c r="P208" s="605">
        <v>135</v>
      </c>
      <c r="Q208" s="343">
        <f>37355+12427+7492+8213.5+4676+5757+7050+1356+2892.5+6045+5978+639+919+810</f>
        <v>101610</v>
      </c>
      <c r="R208" s="348">
        <f>3112+1234+925+858+645+791+1079+205+381+739+757+85+126+135</f>
        <v>11072</v>
      </c>
      <c r="S208" s="266">
        <v>40928</v>
      </c>
    </row>
    <row r="209" spans="1:19" ht="10.5" customHeight="1">
      <c r="A209" s="235"/>
      <c r="B209" s="235"/>
      <c r="C209" s="248"/>
      <c r="D209" s="235"/>
      <c r="E209" s="247"/>
      <c r="F209" s="247"/>
      <c r="G209" s="618" t="s">
        <v>244</v>
      </c>
      <c r="H209" s="68" t="s">
        <v>247</v>
      </c>
      <c r="I209" s="68" t="s">
        <v>248</v>
      </c>
      <c r="J209" s="68" t="s">
        <v>245</v>
      </c>
      <c r="K209" s="268">
        <v>40753</v>
      </c>
      <c r="L209" s="68" t="s">
        <v>13</v>
      </c>
      <c r="M209" s="434">
        <v>3</v>
      </c>
      <c r="N209" s="326">
        <v>7</v>
      </c>
      <c r="O209" s="392">
        <v>1188</v>
      </c>
      <c r="P209" s="612">
        <v>237</v>
      </c>
      <c r="Q209" s="333">
        <v>16007.5</v>
      </c>
      <c r="R209" s="334">
        <v>1536</v>
      </c>
      <c r="S209" s="421">
        <v>40907</v>
      </c>
    </row>
    <row r="210" spans="1:19" ht="10.5" customHeight="1">
      <c r="A210" s="245" t="s">
        <v>223</v>
      </c>
      <c r="B210" s="239"/>
      <c r="C210" s="241">
        <v>2</v>
      </c>
      <c r="D210" s="235"/>
      <c r="E210" s="235"/>
      <c r="F210" s="239"/>
      <c r="G210" s="608" t="s">
        <v>346</v>
      </c>
      <c r="H210" s="65" t="s">
        <v>91</v>
      </c>
      <c r="I210" s="72" t="s">
        <v>94</v>
      </c>
      <c r="J210" s="72" t="s">
        <v>346</v>
      </c>
      <c r="K210" s="268">
        <v>40648</v>
      </c>
      <c r="L210" s="68" t="s">
        <v>12</v>
      </c>
      <c r="M210" s="309">
        <v>151</v>
      </c>
      <c r="N210" s="263">
        <v>30</v>
      </c>
      <c r="O210" s="610">
        <v>615</v>
      </c>
      <c r="P210" s="611">
        <v>123</v>
      </c>
      <c r="Q210" s="424">
        <v>1956708</v>
      </c>
      <c r="R210" s="425">
        <v>218938</v>
      </c>
      <c r="S210" s="266">
        <v>40914</v>
      </c>
    </row>
    <row r="211" spans="1:19" ht="10.5" customHeight="1">
      <c r="A211" s="248"/>
      <c r="B211" s="248"/>
      <c r="C211" s="248"/>
      <c r="D211" s="248"/>
      <c r="E211" s="442"/>
      <c r="F211" s="237" t="s">
        <v>54</v>
      </c>
      <c r="G211" s="624" t="s">
        <v>141</v>
      </c>
      <c r="H211" s="65" t="s">
        <v>142</v>
      </c>
      <c r="I211" s="70"/>
      <c r="J211" s="70" t="s">
        <v>141</v>
      </c>
      <c r="K211" s="269">
        <v>40893</v>
      </c>
      <c r="L211" s="68" t="s">
        <v>8</v>
      </c>
      <c r="M211" s="339">
        <v>131</v>
      </c>
      <c r="N211" s="340">
        <v>3</v>
      </c>
      <c r="O211" s="388">
        <v>2464903</v>
      </c>
      <c r="P211" s="605">
        <v>273690</v>
      </c>
      <c r="Q211" s="343">
        <v>8604215</v>
      </c>
      <c r="R211" s="348">
        <v>960307</v>
      </c>
      <c r="S211" s="421">
        <v>40907</v>
      </c>
    </row>
    <row r="212" spans="1:19" ht="10.5" customHeight="1">
      <c r="A212" s="235"/>
      <c r="B212" s="235"/>
      <c r="C212" s="235"/>
      <c r="D212" s="235"/>
      <c r="E212" s="236"/>
      <c r="F212" s="237" t="s">
        <v>54</v>
      </c>
      <c r="G212" s="624" t="s">
        <v>141</v>
      </c>
      <c r="H212" s="65" t="s">
        <v>142</v>
      </c>
      <c r="I212" s="70"/>
      <c r="J212" s="70" t="s">
        <v>141</v>
      </c>
      <c r="K212" s="269">
        <v>40893</v>
      </c>
      <c r="L212" s="68" t="s">
        <v>8</v>
      </c>
      <c r="M212" s="313">
        <v>131</v>
      </c>
      <c r="N212" s="260">
        <v>4</v>
      </c>
      <c r="O212" s="606">
        <v>1826075</v>
      </c>
      <c r="P212" s="607">
        <v>198737</v>
      </c>
      <c r="Q212" s="419">
        <v>10430290</v>
      </c>
      <c r="R212" s="420">
        <v>1159044</v>
      </c>
      <c r="S212" s="266">
        <v>40914</v>
      </c>
    </row>
    <row r="213" spans="1:19" ht="10.5" customHeight="1">
      <c r="A213" s="470"/>
      <c r="B213" s="470"/>
      <c r="C213" s="470"/>
      <c r="D213" s="470"/>
      <c r="E213" s="543"/>
      <c r="F213" s="474" t="s">
        <v>54</v>
      </c>
      <c r="G213" s="617" t="s">
        <v>141</v>
      </c>
      <c r="H213" s="65" t="s">
        <v>142</v>
      </c>
      <c r="I213" s="70"/>
      <c r="J213" s="70" t="s">
        <v>141</v>
      </c>
      <c r="K213" s="269">
        <v>40893</v>
      </c>
      <c r="L213" s="68" t="s">
        <v>8</v>
      </c>
      <c r="M213" s="339">
        <v>131</v>
      </c>
      <c r="N213" s="340">
        <v>6</v>
      </c>
      <c r="O213" s="388">
        <v>1674165</v>
      </c>
      <c r="P213" s="605">
        <v>188583</v>
      </c>
      <c r="Q213" s="343">
        <v>13641012</v>
      </c>
      <c r="R213" s="348">
        <v>1519587</v>
      </c>
      <c r="S213" s="266">
        <v>40928</v>
      </c>
    </row>
    <row r="214" spans="1:19" ht="10.5" customHeight="1">
      <c r="A214" s="235"/>
      <c r="B214" s="235"/>
      <c r="C214" s="235"/>
      <c r="D214" s="235"/>
      <c r="E214" s="236"/>
      <c r="F214" s="237" t="s">
        <v>54</v>
      </c>
      <c r="G214" s="624" t="s">
        <v>141</v>
      </c>
      <c r="H214" s="65" t="s">
        <v>142</v>
      </c>
      <c r="I214" s="70"/>
      <c r="J214" s="70" t="s">
        <v>141</v>
      </c>
      <c r="K214" s="269">
        <v>40893</v>
      </c>
      <c r="L214" s="68" t="s">
        <v>8</v>
      </c>
      <c r="M214" s="339">
        <v>131</v>
      </c>
      <c r="N214" s="340">
        <v>5</v>
      </c>
      <c r="O214" s="637">
        <v>1536557</v>
      </c>
      <c r="P214" s="638">
        <v>171960</v>
      </c>
      <c r="Q214" s="343">
        <v>11382284</v>
      </c>
      <c r="R214" s="348">
        <v>1257533</v>
      </c>
      <c r="S214" s="266">
        <v>40921</v>
      </c>
    </row>
    <row r="215" spans="1:19" ht="10.5" customHeight="1">
      <c r="A215" s="235"/>
      <c r="B215" s="235"/>
      <c r="C215" s="248"/>
      <c r="D215" s="235"/>
      <c r="E215" s="247"/>
      <c r="F215" s="247"/>
      <c r="G215" s="618" t="s">
        <v>256</v>
      </c>
      <c r="H215" s="68" t="s">
        <v>257</v>
      </c>
      <c r="I215" s="68" t="s">
        <v>248</v>
      </c>
      <c r="J215" s="68" t="s">
        <v>240</v>
      </c>
      <c r="K215" s="268">
        <v>40739</v>
      </c>
      <c r="L215" s="68" t="s">
        <v>13</v>
      </c>
      <c r="M215" s="434">
        <v>3</v>
      </c>
      <c r="N215" s="326">
        <v>17</v>
      </c>
      <c r="O215" s="392">
        <v>2608</v>
      </c>
      <c r="P215" s="612">
        <v>520</v>
      </c>
      <c r="Q215" s="333">
        <v>43756.5</v>
      </c>
      <c r="R215" s="334">
        <v>5487</v>
      </c>
      <c r="S215" s="421">
        <v>40907</v>
      </c>
    </row>
    <row r="216" spans="1:19" ht="10.5" customHeight="1">
      <c r="A216" s="235"/>
      <c r="B216" s="235"/>
      <c r="C216" s="235"/>
      <c r="D216" s="235"/>
      <c r="E216" s="239"/>
      <c r="F216" s="239"/>
      <c r="G216" s="617" t="s">
        <v>345</v>
      </c>
      <c r="H216" s="65" t="s">
        <v>126</v>
      </c>
      <c r="I216" s="70" t="s">
        <v>89</v>
      </c>
      <c r="J216" s="70" t="s">
        <v>352</v>
      </c>
      <c r="K216" s="269">
        <v>40914</v>
      </c>
      <c r="L216" s="68" t="s">
        <v>68</v>
      </c>
      <c r="M216" s="452">
        <v>66</v>
      </c>
      <c r="N216" s="416">
        <v>1</v>
      </c>
      <c r="O216" s="606">
        <v>683638.5</v>
      </c>
      <c r="P216" s="607">
        <v>65177</v>
      </c>
      <c r="Q216" s="419">
        <v>683638.5</v>
      </c>
      <c r="R216" s="420">
        <v>65177</v>
      </c>
      <c r="S216" s="266">
        <v>40914</v>
      </c>
    </row>
    <row r="217" spans="1:19" ht="10.5" customHeight="1">
      <c r="A217" s="235"/>
      <c r="B217" s="254">
        <v>3</v>
      </c>
      <c r="C217" s="235"/>
      <c r="D217" s="235"/>
      <c r="E217" s="239"/>
      <c r="F217" s="239"/>
      <c r="G217" s="617" t="s">
        <v>345</v>
      </c>
      <c r="H217" s="65" t="s">
        <v>126</v>
      </c>
      <c r="I217" s="70" t="s">
        <v>89</v>
      </c>
      <c r="J217" s="70" t="s">
        <v>352</v>
      </c>
      <c r="K217" s="269">
        <v>40914</v>
      </c>
      <c r="L217" s="68" t="s">
        <v>68</v>
      </c>
      <c r="M217" s="325">
        <v>66</v>
      </c>
      <c r="N217" s="326">
        <v>2</v>
      </c>
      <c r="O217" s="388">
        <v>541400</v>
      </c>
      <c r="P217" s="605">
        <v>52837</v>
      </c>
      <c r="Q217" s="343">
        <f>683638.5+541400</f>
        <v>1225038.5</v>
      </c>
      <c r="R217" s="348">
        <f>65177+52837</f>
        <v>118014</v>
      </c>
      <c r="S217" s="266">
        <v>40921</v>
      </c>
    </row>
    <row r="218" spans="1:19" ht="10.5" customHeight="1">
      <c r="A218" s="248"/>
      <c r="B218" s="248"/>
      <c r="C218" s="248"/>
      <c r="D218" s="248"/>
      <c r="E218" s="247"/>
      <c r="F218" s="255"/>
      <c r="G218" s="639" t="s">
        <v>168</v>
      </c>
      <c r="H218" s="65" t="s">
        <v>171</v>
      </c>
      <c r="I218" s="71" t="s">
        <v>99</v>
      </c>
      <c r="J218" s="69" t="s">
        <v>172</v>
      </c>
      <c r="K218" s="268">
        <v>40830</v>
      </c>
      <c r="L218" s="68" t="s">
        <v>52</v>
      </c>
      <c r="M218" s="356">
        <v>24</v>
      </c>
      <c r="N218" s="344">
        <v>7</v>
      </c>
      <c r="O218" s="631">
        <v>1775</v>
      </c>
      <c r="P218" s="632">
        <v>204</v>
      </c>
      <c r="Q218" s="330">
        <f>39089+12457+497+1407+378+156+1775</f>
        <v>55759</v>
      </c>
      <c r="R218" s="334">
        <f>3631+1290+71+217+63+19+204</f>
        <v>5495</v>
      </c>
      <c r="S218" s="421">
        <v>40907</v>
      </c>
    </row>
    <row r="219" spans="1:19" ht="10.5" customHeight="1">
      <c r="A219" s="470"/>
      <c r="B219" s="470"/>
      <c r="C219" s="470"/>
      <c r="D219" s="470"/>
      <c r="E219" s="471"/>
      <c r="F219" s="479"/>
      <c r="G219" s="639" t="s">
        <v>168</v>
      </c>
      <c r="H219" s="65" t="s">
        <v>171</v>
      </c>
      <c r="I219" s="71" t="s">
        <v>99</v>
      </c>
      <c r="J219" s="69" t="s">
        <v>172</v>
      </c>
      <c r="K219" s="268">
        <v>40830</v>
      </c>
      <c r="L219" s="68" t="s">
        <v>52</v>
      </c>
      <c r="M219" s="356">
        <v>24</v>
      </c>
      <c r="N219" s="344">
        <v>9</v>
      </c>
      <c r="O219" s="631">
        <v>525</v>
      </c>
      <c r="P219" s="632">
        <v>69</v>
      </c>
      <c r="Q219" s="330">
        <f>39089+12457+497+1407+378+156+1775+429+525</f>
        <v>56713</v>
      </c>
      <c r="R219" s="334">
        <f>3631+1290+71+217+63+19+204+72+69</f>
        <v>5636</v>
      </c>
      <c r="S219" s="266">
        <v>40928</v>
      </c>
    </row>
    <row r="220" spans="1:19" ht="10.5" customHeight="1">
      <c r="A220" s="235"/>
      <c r="B220" s="235"/>
      <c r="C220" s="235"/>
      <c r="D220" s="235"/>
      <c r="E220" s="239"/>
      <c r="F220" s="255"/>
      <c r="G220" s="639" t="s">
        <v>168</v>
      </c>
      <c r="H220" s="65" t="s">
        <v>171</v>
      </c>
      <c r="I220" s="71" t="s">
        <v>99</v>
      </c>
      <c r="J220" s="69" t="s">
        <v>172</v>
      </c>
      <c r="K220" s="268">
        <v>40830</v>
      </c>
      <c r="L220" s="68" t="s">
        <v>52</v>
      </c>
      <c r="M220" s="356">
        <v>24</v>
      </c>
      <c r="N220" s="344">
        <v>8</v>
      </c>
      <c r="O220" s="394">
        <v>429</v>
      </c>
      <c r="P220" s="633">
        <v>72</v>
      </c>
      <c r="Q220" s="349">
        <f>39089+12457+497+1407+378+156+1775+429</f>
        <v>56188</v>
      </c>
      <c r="R220" s="334">
        <f>3631+1290+71+217+63+19+204+72</f>
        <v>5567</v>
      </c>
      <c r="S220" s="266">
        <v>40921</v>
      </c>
    </row>
    <row r="221" spans="1:19" ht="10.5" customHeight="1">
      <c r="A221" s="470"/>
      <c r="B221" s="470"/>
      <c r="C221" s="470"/>
      <c r="D221" s="470"/>
      <c r="E221" s="470"/>
      <c r="F221" s="484"/>
      <c r="G221" s="626" t="s">
        <v>445</v>
      </c>
      <c r="H221" s="69" t="s">
        <v>447</v>
      </c>
      <c r="I221" s="65" t="s">
        <v>189</v>
      </c>
      <c r="J221" s="70" t="s">
        <v>446</v>
      </c>
      <c r="K221" s="268">
        <v>40844</v>
      </c>
      <c r="L221" s="68" t="s">
        <v>8</v>
      </c>
      <c r="M221" s="552">
        <v>29</v>
      </c>
      <c r="N221" s="340">
        <v>9</v>
      </c>
      <c r="O221" s="388">
        <v>680</v>
      </c>
      <c r="P221" s="605">
        <v>92</v>
      </c>
      <c r="Q221" s="343">
        <v>343647</v>
      </c>
      <c r="R221" s="348">
        <v>27776</v>
      </c>
      <c r="S221" s="266">
        <v>40928</v>
      </c>
    </row>
    <row r="222" spans="1:19" ht="10.5" customHeight="1">
      <c r="A222" s="235"/>
      <c r="B222" s="235"/>
      <c r="C222" s="248"/>
      <c r="D222" s="235"/>
      <c r="E222" s="247"/>
      <c r="F222" s="247"/>
      <c r="G222" s="635" t="s">
        <v>158</v>
      </c>
      <c r="H222" s="68" t="s">
        <v>162</v>
      </c>
      <c r="I222" s="68" t="s">
        <v>79</v>
      </c>
      <c r="J222" s="68" t="s">
        <v>161</v>
      </c>
      <c r="K222" s="269">
        <v>40907</v>
      </c>
      <c r="L222" s="68" t="s">
        <v>13</v>
      </c>
      <c r="M222" s="325">
        <v>1</v>
      </c>
      <c r="N222" s="326">
        <v>1</v>
      </c>
      <c r="O222" s="392">
        <v>2379</v>
      </c>
      <c r="P222" s="612">
        <v>255</v>
      </c>
      <c r="Q222" s="333">
        <v>2379</v>
      </c>
      <c r="R222" s="334">
        <v>255</v>
      </c>
      <c r="S222" s="421">
        <v>40907</v>
      </c>
    </row>
    <row r="223" spans="1:19" ht="10.5" customHeight="1">
      <c r="A223" s="235"/>
      <c r="B223" s="235"/>
      <c r="C223" s="235"/>
      <c r="D223" s="235"/>
      <c r="E223" s="239"/>
      <c r="F223" s="239"/>
      <c r="G223" s="635" t="s">
        <v>158</v>
      </c>
      <c r="H223" s="68" t="s">
        <v>162</v>
      </c>
      <c r="I223" s="68" t="s">
        <v>79</v>
      </c>
      <c r="J223" s="68" t="s">
        <v>161</v>
      </c>
      <c r="K223" s="269">
        <v>40907</v>
      </c>
      <c r="L223" s="68" t="s">
        <v>13</v>
      </c>
      <c r="M223" s="309">
        <v>1</v>
      </c>
      <c r="N223" s="454">
        <v>2</v>
      </c>
      <c r="O223" s="610">
        <v>342</v>
      </c>
      <c r="P223" s="611">
        <v>34</v>
      </c>
      <c r="Q223" s="424">
        <v>2721</v>
      </c>
      <c r="R223" s="425">
        <v>289</v>
      </c>
      <c r="S223" s="266">
        <v>40914</v>
      </c>
    </row>
    <row r="224" spans="1:19" ht="10.5" customHeight="1">
      <c r="A224" s="235"/>
      <c r="B224" s="235"/>
      <c r="C224" s="235"/>
      <c r="D224" s="235"/>
      <c r="E224" s="236"/>
      <c r="F224" s="247"/>
      <c r="G224" s="635" t="s">
        <v>391</v>
      </c>
      <c r="H224" s="65" t="s">
        <v>93</v>
      </c>
      <c r="I224" s="66" t="s">
        <v>95</v>
      </c>
      <c r="J224" s="68" t="s">
        <v>392</v>
      </c>
      <c r="K224" s="268">
        <v>40556</v>
      </c>
      <c r="L224" s="68" t="s">
        <v>10</v>
      </c>
      <c r="M224" s="325">
        <v>85</v>
      </c>
      <c r="N224" s="344">
        <v>1</v>
      </c>
      <c r="O224" s="388">
        <v>777874</v>
      </c>
      <c r="P224" s="605">
        <v>70890</v>
      </c>
      <c r="Q224" s="343">
        <v>777874</v>
      </c>
      <c r="R224" s="348">
        <v>70890</v>
      </c>
      <c r="S224" s="266">
        <v>40921</v>
      </c>
    </row>
    <row r="225" spans="1:19" ht="10.5" customHeight="1">
      <c r="A225" s="248"/>
      <c r="B225" s="254">
        <v>3</v>
      </c>
      <c r="C225" s="248"/>
      <c r="D225" s="235"/>
      <c r="E225" s="247"/>
      <c r="F225" s="255"/>
      <c r="G225" s="639" t="s">
        <v>167</v>
      </c>
      <c r="H225" s="65" t="s">
        <v>170</v>
      </c>
      <c r="I225" s="71" t="s">
        <v>99</v>
      </c>
      <c r="J225" s="69" t="s">
        <v>169</v>
      </c>
      <c r="K225" s="269">
        <v>40872</v>
      </c>
      <c r="L225" s="68" t="s">
        <v>52</v>
      </c>
      <c r="M225" s="356">
        <v>21</v>
      </c>
      <c r="N225" s="344">
        <v>5</v>
      </c>
      <c r="O225" s="631">
        <v>3616.5</v>
      </c>
      <c r="P225" s="632">
        <v>459</v>
      </c>
      <c r="Q225" s="330">
        <f>48871+740+512+11538+3616.5</f>
        <v>65277.5</v>
      </c>
      <c r="R225" s="334">
        <f>5142+80+52+1109+459</f>
        <v>6842</v>
      </c>
      <c r="S225" s="421">
        <v>40907</v>
      </c>
    </row>
    <row r="226" spans="1:19" ht="10.5" customHeight="1">
      <c r="A226" s="235"/>
      <c r="B226" s="235"/>
      <c r="C226" s="235"/>
      <c r="D226" s="235"/>
      <c r="E226" s="239"/>
      <c r="F226" s="239"/>
      <c r="G226" s="608" t="s">
        <v>200</v>
      </c>
      <c r="H226" s="65" t="s">
        <v>205</v>
      </c>
      <c r="I226" s="72" t="s">
        <v>206</v>
      </c>
      <c r="J226" s="72" t="s">
        <v>204</v>
      </c>
      <c r="K226" s="268">
        <v>40872</v>
      </c>
      <c r="L226" s="68" t="s">
        <v>12</v>
      </c>
      <c r="M226" s="309">
        <v>55</v>
      </c>
      <c r="N226" s="263">
        <v>7</v>
      </c>
      <c r="O226" s="610">
        <v>1489</v>
      </c>
      <c r="P226" s="611">
        <v>230</v>
      </c>
      <c r="Q226" s="424">
        <v>755597</v>
      </c>
      <c r="R226" s="425">
        <v>62961</v>
      </c>
      <c r="S226" s="266">
        <v>40914</v>
      </c>
    </row>
    <row r="227" spans="1:19" ht="10.5" customHeight="1">
      <c r="A227" s="248"/>
      <c r="B227" s="248"/>
      <c r="C227" s="248"/>
      <c r="D227" s="248"/>
      <c r="E227" s="247"/>
      <c r="F227" s="234"/>
      <c r="G227" s="608" t="s">
        <v>200</v>
      </c>
      <c r="H227" s="65" t="s">
        <v>205</v>
      </c>
      <c r="I227" s="72" t="s">
        <v>206</v>
      </c>
      <c r="J227" s="72" t="s">
        <v>204</v>
      </c>
      <c r="K227" s="268">
        <v>40872</v>
      </c>
      <c r="L227" s="68" t="s">
        <v>12</v>
      </c>
      <c r="M227" s="325">
        <v>55</v>
      </c>
      <c r="N227" s="326">
        <v>6</v>
      </c>
      <c r="O227" s="387">
        <v>433</v>
      </c>
      <c r="P227" s="609">
        <v>58</v>
      </c>
      <c r="Q227" s="357">
        <v>754108</v>
      </c>
      <c r="R227" s="336">
        <v>62731</v>
      </c>
      <c r="S227" s="421">
        <v>40907</v>
      </c>
    </row>
    <row r="228" spans="1:19" ht="10.5" customHeight="1">
      <c r="A228" s="251"/>
      <c r="B228" s="251"/>
      <c r="C228" s="235"/>
      <c r="D228" s="251"/>
      <c r="E228" s="239"/>
      <c r="F228" s="247"/>
      <c r="G228" s="635" t="s">
        <v>393</v>
      </c>
      <c r="H228" s="65" t="s">
        <v>396</v>
      </c>
      <c r="I228" s="68" t="s">
        <v>394</v>
      </c>
      <c r="J228" s="68" t="s">
        <v>395</v>
      </c>
      <c r="K228" s="268">
        <v>40921</v>
      </c>
      <c r="L228" s="68" t="s">
        <v>370</v>
      </c>
      <c r="M228" s="325">
        <v>30</v>
      </c>
      <c r="N228" s="326">
        <v>1</v>
      </c>
      <c r="O228" s="390">
        <v>209032</v>
      </c>
      <c r="P228" s="640">
        <v>15493</v>
      </c>
      <c r="Q228" s="350">
        <v>209032</v>
      </c>
      <c r="R228" s="351">
        <v>15493</v>
      </c>
      <c r="S228" s="266">
        <v>40921</v>
      </c>
    </row>
    <row r="229" spans="1:19" ht="10.5" customHeight="1">
      <c r="A229" s="540"/>
      <c r="B229" s="540"/>
      <c r="C229" s="470"/>
      <c r="D229" s="540"/>
      <c r="E229" s="471"/>
      <c r="F229" s="472"/>
      <c r="G229" s="635" t="s">
        <v>441</v>
      </c>
      <c r="H229" s="65" t="s">
        <v>442</v>
      </c>
      <c r="I229" s="68" t="s">
        <v>394</v>
      </c>
      <c r="J229" s="68" t="s">
        <v>443</v>
      </c>
      <c r="K229" s="268">
        <v>40816</v>
      </c>
      <c r="L229" s="68" t="s">
        <v>370</v>
      </c>
      <c r="M229" s="325">
        <v>41</v>
      </c>
      <c r="N229" s="549">
        <v>12</v>
      </c>
      <c r="O229" s="390">
        <v>3084</v>
      </c>
      <c r="P229" s="640">
        <v>617</v>
      </c>
      <c r="Q229" s="350">
        <v>1283193</v>
      </c>
      <c r="R229" s="351">
        <v>101565</v>
      </c>
      <c r="S229" s="266">
        <v>40928</v>
      </c>
    </row>
    <row r="230" spans="1:19" ht="10.5" customHeight="1">
      <c r="A230" s="245" t="s">
        <v>223</v>
      </c>
      <c r="B230" s="254">
        <v>3</v>
      </c>
      <c r="C230" s="248"/>
      <c r="D230" s="235"/>
      <c r="E230" s="246" t="s">
        <v>55</v>
      </c>
      <c r="F230" s="308"/>
      <c r="G230" s="626" t="s">
        <v>219</v>
      </c>
      <c r="H230" s="69" t="s">
        <v>183</v>
      </c>
      <c r="I230" s="65" t="s">
        <v>189</v>
      </c>
      <c r="J230" s="70" t="s">
        <v>181</v>
      </c>
      <c r="K230" s="268">
        <v>40907</v>
      </c>
      <c r="L230" s="68" t="s">
        <v>8</v>
      </c>
      <c r="M230" s="352">
        <v>73</v>
      </c>
      <c r="N230" s="340">
        <v>1</v>
      </c>
      <c r="O230" s="388">
        <v>119808</v>
      </c>
      <c r="P230" s="605">
        <v>10660</v>
      </c>
      <c r="Q230" s="343">
        <v>119808</v>
      </c>
      <c r="R230" s="348">
        <v>10660</v>
      </c>
      <c r="S230" s="421">
        <v>40907</v>
      </c>
    </row>
    <row r="231" spans="1:19" ht="10.5" customHeight="1">
      <c r="A231" s="245" t="s">
        <v>223</v>
      </c>
      <c r="B231" s="254">
        <v>3</v>
      </c>
      <c r="C231" s="235"/>
      <c r="D231" s="235"/>
      <c r="E231" s="246" t="s">
        <v>55</v>
      </c>
      <c r="F231" s="308"/>
      <c r="G231" s="626" t="s">
        <v>219</v>
      </c>
      <c r="H231" s="69" t="s">
        <v>183</v>
      </c>
      <c r="I231" s="65" t="s">
        <v>189</v>
      </c>
      <c r="J231" s="70" t="s">
        <v>181</v>
      </c>
      <c r="K231" s="268">
        <v>40907</v>
      </c>
      <c r="L231" s="68" t="s">
        <v>8</v>
      </c>
      <c r="M231" s="314">
        <v>73</v>
      </c>
      <c r="N231" s="260">
        <v>2</v>
      </c>
      <c r="O231" s="606">
        <v>21746</v>
      </c>
      <c r="P231" s="607">
        <v>2043</v>
      </c>
      <c r="Q231" s="419">
        <v>141554</v>
      </c>
      <c r="R231" s="420">
        <v>12703</v>
      </c>
      <c r="S231" s="266">
        <v>40914</v>
      </c>
    </row>
    <row r="232" spans="1:19" ht="10.5" customHeight="1">
      <c r="A232" s="245" t="s">
        <v>223</v>
      </c>
      <c r="B232" s="254">
        <v>3</v>
      </c>
      <c r="C232" s="235"/>
      <c r="D232" s="235"/>
      <c r="E232" s="246" t="s">
        <v>55</v>
      </c>
      <c r="F232" s="308"/>
      <c r="G232" s="626" t="s">
        <v>219</v>
      </c>
      <c r="H232" s="69" t="s">
        <v>183</v>
      </c>
      <c r="I232" s="65" t="s">
        <v>189</v>
      </c>
      <c r="J232" s="70" t="s">
        <v>181</v>
      </c>
      <c r="K232" s="268">
        <v>40907</v>
      </c>
      <c r="L232" s="68" t="s">
        <v>8</v>
      </c>
      <c r="M232" s="352">
        <v>73</v>
      </c>
      <c r="N232" s="340">
        <v>3</v>
      </c>
      <c r="O232" s="637">
        <v>324</v>
      </c>
      <c r="P232" s="638">
        <v>32</v>
      </c>
      <c r="Q232" s="343">
        <v>141554</v>
      </c>
      <c r="R232" s="348">
        <v>12703</v>
      </c>
      <c r="S232" s="266">
        <v>40921</v>
      </c>
    </row>
    <row r="233" spans="1:19" ht="10.5" customHeight="1">
      <c r="A233" s="235"/>
      <c r="B233" s="235"/>
      <c r="C233" s="235"/>
      <c r="D233" s="235"/>
      <c r="E233" s="239"/>
      <c r="F233" s="239"/>
      <c r="G233" s="617" t="s">
        <v>341</v>
      </c>
      <c r="H233" s="65" t="s">
        <v>342</v>
      </c>
      <c r="I233" s="70" t="s">
        <v>189</v>
      </c>
      <c r="J233" s="70" t="s">
        <v>343</v>
      </c>
      <c r="K233" s="269">
        <v>40914</v>
      </c>
      <c r="L233" s="68" t="s">
        <v>8</v>
      </c>
      <c r="M233" s="313">
        <v>36</v>
      </c>
      <c r="N233" s="260">
        <v>1</v>
      </c>
      <c r="O233" s="606">
        <v>273878</v>
      </c>
      <c r="P233" s="607">
        <v>21924</v>
      </c>
      <c r="Q233" s="419">
        <v>273878</v>
      </c>
      <c r="R233" s="420">
        <v>21924</v>
      </c>
      <c r="S233" s="266">
        <v>40914</v>
      </c>
    </row>
    <row r="234" spans="1:19" ht="10.5" customHeight="1">
      <c r="A234" s="235"/>
      <c r="B234" s="235"/>
      <c r="C234" s="235"/>
      <c r="D234" s="235"/>
      <c r="E234" s="239"/>
      <c r="F234" s="239"/>
      <c r="G234" s="617" t="s">
        <v>341</v>
      </c>
      <c r="H234" s="65" t="s">
        <v>342</v>
      </c>
      <c r="I234" s="70" t="s">
        <v>189</v>
      </c>
      <c r="J234" s="70" t="s">
        <v>343</v>
      </c>
      <c r="K234" s="269">
        <v>40914</v>
      </c>
      <c r="L234" s="68" t="s">
        <v>8</v>
      </c>
      <c r="M234" s="339">
        <v>36</v>
      </c>
      <c r="N234" s="340">
        <v>2</v>
      </c>
      <c r="O234" s="637">
        <v>155690</v>
      </c>
      <c r="P234" s="638">
        <v>13332</v>
      </c>
      <c r="Q234" s="343">
        <v>372505</v>
      </c>
      <c r="R234" s="348">
        <v>29481</v>
      </c>
      <c r="S234" s="266">
        <v>40921</v>
      </c>
    </row>
    <row r="235" spans="1:19" ht="10.5" customHeight="1">
      <c r="A235" s="482" t="s">
        <v>223</v>
      </c>
      <c r="B235" s="477">
        <v>3</v>
      </c>
      <c r="C235" s="470"/>
      <c r="D235" s="540"/>
      <c r="E235" s="475" t="s">
        <v>55</v>
      </c>
      <c r="F235" s="471"/>
      <c r="G235" s="617" t="s">
        <v>220</v>
      </c>
      <c r="H235" s="70" t="s">
        <v>93</v>
      </c>
      <c r="I235" s="68" t="s">
        <v>95</v>
      </c>
      <c r="J235" s="70" t="s">
        <v>60</v>
      </c>
      <c r="K235" s="268">
        <v>40760</v>
      </c>
      <c r="L235" s="68" t="s">
        <v>10</v>
      </c>
      <c r="M235" s="360">
        <v>184</v>
      </c>
      <c r="N235" s="344">
        <v>25</v>
      </c>
      <c r="O235" s="388">
        <v>4268</v>
      </c>
      <c r="P235" s="605">
        <v>880</v>
      </c>
      <c r="Q235" s="343">
        <v>11513319</v>
      </c>
      <c r="R235" s="348">
        <v>1143987</v>
      </c>
      <c r="S235" s="266">
        <v>40928</v>
      </c>
    </row>
    <row r="236" spans="1:19" ht="10.5" customHeight="1">
      <c r="A236" s="245" t="s">
        <v>223</v>
      </c>
      <c r="B236" s="254">
        <v>3</v>
      </c>
      <c r="C236" s="248"/>
      <c r="D236" s="455"/>
      <c r="E236" s="246" t="s">
        <v>55</v>
      </c>
      <c r="F236" s="234"/>
      <c r="G236" s="617" t="s">
        <v>220</v>
      </c>
      <c r="H236" s="70" t="s">
        <v>93</v>
      </c>
      <c r="I236" s="68" t="s">
        <v>95</v>
      </c>
      <c r="J236" s="70" t="s">
        <v>60</v>
      </c>
      <c r="K236" s="268">
        <v>40760</v>
      </c>
      <c r="L236" s="68" t="s">
        <v>10</v>
      </c>
      <c r="M236" s="360">
        <v>184</v>
      </c>
      <c r="N236" s="344">
        <v>22</v>
      </c>
      <c r="O236" s="388">
        <v>3227</v>
      </c>
      <c r="P236" s="605">
        <v>581</v>
      </c>
      <c r="Q236" s="343">
        <v>11506311</v>
      </c>
      <c r="R236" s="348">
        <v>1142393</v>
      </c>
      <c r="S236" s="421">
        <v>40907</v>
      </c>
    </row>
    <row r="237" spans="1:19" ht="10.5" customHeight="1">
      <c r="A237" s="245" t="s">
        <v>223</v>
      </c>
      <c r="B237" s="254">
        <v>3</v>
      </c>
      <c r="C237" s="235"/>
      <c r="D237" s="456"/>
      <c r="E237" s="246" t="s">
        <v>55</v>
      </c>
      <c r="F237" s="239"/>
      <c r="G237" s="617" t="s">
        <v>220</v>
      </c>
      <c r="H237" s="70" t="s">
        <v>93</v>
      </c>
      <c r="I237" s="68" t="s">
        <v>95</v>
      </c>
      <c r="J237" s="70" t="s">
        <v>60</v>
      </c>
      <c r="K237" s="268">
        <v>40760</v>
      </c>
      <c r="L237" s="68" t="s">
        <v>10</v>
      </c>
      <c r="M237" s="310">
        <v>184</v>
      </c>
      <c r="N237" s="264">
        <v>23</v>
      </c>
      <c r="O237" s="606">
        <v>2676</v>
      </c>
      <c r="P237" s="607">
        <v>704</v>
      </c>
      <c r="Q237" s="419">
        <f>11506311+2676</f>
        <v>11508987</v>
      </c>
      <c r="R237" s="420">
        <f>1142393+704</f>
        <v>1143097</v>
      </c>
      <c r="S237" s="266">
        <v>40914</v>
      </c>
    </row>
    <row r="238" spans="1:19" ht="10.5" customHeight="1">
      <c r="A238" s="245" t="s">
        <v>223</v>
      </c>
      <c r="B238" s="254">
        <v>3</v>
      </c>
      <c r="C238" s="235"/>
      <c r="D238" s="456"/>
      <c r="E238" s="246" t="s">
        <v>55</v>
      </c>
      <c r="F238" s="239"/>
      <c r="G238" s="617" t="s">
        <v>220</v>
      </c>
      <c r="H238" s="70" t="s">
        <v>93</v>
      </c>
      <c r="I238" s="68" t="s">
        <v>95</v>
      </c>
      <c r="J238" s="70" t="s">
        <v>60</v>
      </c>
      <c r="K238" s="268">
        <v>40760</v>
      </c>
      <c r="L238" s="68" t="s">
        <v>10</v>
      </c>
      <c r="M238" s="360">
        <v>184</v>
      </c>
      <c r="N238" s="344">
        <v>24</v>
      </c>
      <c r="O238" s="388">
        <v>64</v>
      </c>
      <c r="P238" s="605">
        <v>10</v>
      </c>
      <c r="Q238" s="343">
        <v>11509051</v>
      </c>
      <c r="R238" s="348">
        <v>1143107</v>
      </c>
      <c r="S238" s="266">
        <v>40921</v>
      </c>
    </row>
    <row r="239" spans="1:19" ht="10.5" customHeight="1">
      <c r="A239" s="245" t="s">
        <v>223</v>
      </c>
      <c r="B239" s="254">
        <v>3</v>
      </c>
      <c r="C239" s="248"/>
      <c r="D239" s="235"/>
      <c r="E239" s="246" t="s">
        <v>55</v>
      </c>
      <c r="F239" s="308"/>
      <c r="G239" s="617" t="s">
        <v>174</v>
      </c>
      <c r="H239" s="70" t="s">
        <v>185</v>
      </c>
      <c r="I239" s="70" t="s">
        <v>186</v>
      </c>
      <c r="J239" s="70" t="s">
        <v>177</v>
      </c>
      <c r="K239" s="268">
        <v>39710</v>
      </c>
      <c r="L239" s="68" t="s">
        <v>53</v>
      </c>
      <c r="M239" s="352">
        <v>66</v>
      </c>
      <c r="N239" s="353">
        <v>29</v>
      </c>
      <c r="O239" s="389">
        <v>1201</v>
      </c>
      <c r="P239" s="614">
        <v>240</v>
      </c>
      <c r="Q239" s="354">
        <f>152576+127511+68854.5+21974+10111.5+7103+7290+0.5+1014+3149+989+3524+0.5+3768+138+2528+257+351.5+573.5+184+3655+10+15+10+210+156+3603+3603+1922+1201</f>
        <v>426282</v>
      </c>
      <c r="R239" s="355">
        <f>50018+825+47+65+137+67+1215+2+3+2+35+26+721+720+384+240</f>
        <v>54507</v>
      </c>
      <c r="S239" s="421">
        <v>40907</v>
      </c>
    </row>
    <row r="240" spans="1:19" ht="10.5" customHeight="1">
      <c r="A240" s="470"/>
      <c r="B240" s="470"/>
      <c r="C240" s="470"/>
      <c r="D240" s="470"/>
      <c r="E240" s="471"/>
      <c r="F240" s="471"/>
      <c r="G240" s="617" t="s">
        <v>149</v>
      </c>
      <c r="H240" s="65" t="s">
        <v>184</v>
      </c>
      <c r="I240" s="70" t="s">
        <v>189</v>
      </c>
      <c r="J240" s="70" t="s">
        <v>150</v>
      </c>
      <c r="K240" s="269">
        <v>40830</v>
      </c>
      <c r="L240" s="68" t="s">
        <v>8</v>
      </c>
      <c r="M240" s="339">
        <v>60</v>
      </c>
      <c r="N240" s="340">
        <v>11</v>
      </c>
      <c r="O240" s="388">
        <v>7574</v>
      </c>
      <c r="P240" s="605">
        <v>1094</v>
      </c>
      <c r="Q240" s="343">
        <v>393915</v>
      </c>
      <c r="R240" s="348">
        <v>41412</v>
      </c>
      <c r="S240" s="266">
        <v>40928</v>
      </c>
    </row>
    <row r="241" spans="1:19" ht="10.5" customHeight="1">
      <c r="A241" s="248"/>
      <c r="B241" s="248"/>
      <c r="C241" s="248"/>
      <c r="D241" s="248"/>
      <c r="E241" s="247"/>
      <c r="F241" s="234"/>
      <c r="G241" s="617" t="s">
        <v>149</v>
      </c>
      <c r="H241" s="65" t="s">
        <v>184</v>
      </c>
      <c r="I241" s="70" t="s">
        <v>189</v>
      </c>
      <c r="J241" s="70" t="s">
        <v>150</v>
      </c>
      <c r="K241" s="269">
        <v>40830</v>
      </c>
      <c r="L241" s="68" t="s">
        <v>8</v>
      </c>
      <c r="M241" s="339">
        <v>60</v>
      </c>
      <c r="N241" s="340">
        <v>9</v>
      </c>
      <c r="O241" s="388">
        <v>476</v>
      </c>
      <c r="P241" s="605">
        <v>70</v>
      </c>
      <c r="Q241" s="343">
        <v>386024</v>
      </c>
      <c r="R241" s="348">
        <v>40273</v>
      </c>
      <c r="S241" s="421">
        <v>40907</v>
      </c>
    </row>
    <row r="242" spans="1:19" ht="10.5" customHeight="1">
      <c r="A242" s="248"/>
      <c r="B242" s="254">
        <v>3</v>
      </c>
      <c r="C242" s="248"/>
      <c r="D242" s="235"/>
      <c r="E242" s="247"/>
      <c r="F242" s="247"/>
      <c r="G242" s="604" t="s">
        <v>274</v>
      </c>
      <c r="H242" s="65" t="s">
        <v>140</v>
      </c>
      <c r="I242" s="69" t="s">
        <v>85</v>
      </c>
      <c r="J242" s="67" t="s">
        <v>286</v>
      </c>
      <c r="K242" s="268">
        <v>40830</v>
      </c>
      <c r="L242" s="68" t="s">
        <v>68</v>
      </c>
      <c r="M242" s="325">
        <v>98</v>
      </c>
      <c r="N242" s="432">
        <v>12</v>
      </c>
      <c r="O242" s="388">
        <v>6668.5</v>
      </c>
      <c r="P242" s="605">
        <v>1646</v>
      </c>
      <c r="Q242" s="343">
        <f>573965.5+340647.5+298149+37925.5+16221+796+1713.5+3994+1930+1403+3582+6668.5</f>
        <v>1286995.5</v>
      </c>
      <c r="R242" s="348">
        <f>50953+31140+27249+4634+2655+127+438+632+617+597+1015+1646</f>
        <v>121703</v>
      </c>
      <c r="S242" s="421">
        <v>40907</v>
      </c>
    </row>
    <row r="243" spans="1:19" ht="10.5" customHeight="1">
      <c r="A243" s="248"/>
      <c r="B243" s="254">
        <v>3</v>
      </c>
      <c r="C243" s="248"/>
      <c r="D243" s="235"/>
      <c r="E243" s="247"/>
      <c r="F243" s="239"/>
      <c r="G243" s="650" t="s">
        <v>274</v>
      </c>
      <c r="H243" s="325" t="s">
        <v>140</v>
      </c>
      <c r="I243" s="651" t="s">
        <v>85</v>
      </c>
      <c r="J243" s="652" t="s">
        <v>286</v>
      </c>
      <c r="K243" s="653">
        <v>40830</v>
      </c>
      <c r="L243" s="654" t="s">
        <v>68</v>
      </c>
      <c r="M243" s="309">
        <v>98</v>
      </c>
      <c r="N243" s="263">
        <v>12</v>
      </c>
      <c r="O243" s="606">
        <v>488</v>
      </c>
      <c r="P243" s="607">
        <v>70</v>
      </c>
      <c r="Q243" s="419">
        <f>573965.5+340647.5+298149+37925.5+16221+796+1713.5+3994+1930+1403+3582+6668.5+488</f>
        <v>1287483.5</v>
      </c>
      <c r="R243" s="420">
        <f>50953+31140+27249+4634+2655+127+438+632+617+597+1015+1646+70</f>
        <v>121773</v>
      </c>
      <c r="S243" s="266">
        <v>40914</v>
      </c>
    </row>
    <row r="244" spans="1:19" ht="10.5" customHeight="1">
      <c r="A244" s="248"/>
      <c r="B244" s="235"/>
      <c r="C244" s="235"/>
      <c r="D244" s="235"/>
      <c r="E244" s="235"/>
      <c r="F244" s="239"/>
      <c r="G244" s="655" t="s">
        <v>387</v>
      </c>
      <c r="H244" s="325" t="s">
        <v>83</v>
      </c>
      <c r="I244" s="360" t="s">
        <v>94</v>
      </c>
      <c r="J244" s="360" t="s">
        <v>388</v>
      </c>
      <c r="K244" s="653">
        <v>40851</v>
      </c>
      <c r="L244" s="654" t="s">
        <v>12</v>
      </c>
      <c r="M244" s="325">
        <v>72</v>
      </c>
      <c r="N244" s="326">
        <v>11</v>
      </c>
      <c r="O244" s="392">
        <v>612</v>
      </c>
      <c r="P244" s="612">
        <v>102</v>
      </c>
      <c r="Q244" s="335">
        <v>1116374</v>
      </c>
      <c r="R244" s="336">
        <v>103200</v>
      </c>
      <c r="S244" s="266">
        <v>40921</v>
      </c>
    </row>
    <row r="245" spans="1:19" ht="10.5" customHeight="1">
      <c r="A245" s="470"/>
      <c r="B245" s="470"/>
      <c r="C245" s="470"/>
      <c r="D245" s="470"/>
      <c r="E245" s="470"/>
      <c r="F245" s="471"/>
      <c r="G245" s="657" t="s">
        <v>426</v>
      </c>
      <c r="H245" s="656" t="s">
        <v>91</v>
      </c>
      <c r="I245" s="656" t="s">
        <v>94</v>
      </c>
      <c r="J245" s="651" t="s">
        <v>430</v>
      </c>
      <c r="K245" s="653">
        <v>40907</v>
      </c>
      <c r="L245" s="654" t="s">
        <v>8</v>
      </c>
      <c r="M245" s="352">
        <v>73</v>
      </c>
      <c r="N245" s="326">
        <v>3</v>
      </c>
      <c r="O245" s="555">
        <v>324</v>
      </c>
      <c r="P245" s="556">
        <v>32</v>
      </c>
      <c r="Q245" s="341">
        <v>141554</v>
      </c>
      <c r="R245" s="342">
        <v>12703</v>
      </c>
      <c r="S245" s="266">
        <v>40928</v>
      </c>
    </row>
    <row r="246" spans="1:19" ht="10.5" customHeight="1">
      <c r="A246" s="259"/>
      <c r="B246" s="259"/>
      <c r="C246" s="248"/>
      <c r="D246" s="242" t="s">
        <v>292</v>
      </c>
      <c r="E246" s="247"/>
      <c r="F246" s="234"/>
      <c r="G246" s="650" t="s">
        <v>86</v>
      </c>
      <c r="H246" s="325" t="s">
        <v>90</v>
      </c>
      <c r="I246" s="339" t="s">
        <v>85</v>
      </c>
      <c r="J246" s="339" t="s">
        <v>84</v>
      </c>
      <c r="K246" s="653">
        <v>40865</v>
      </c>
      <c r="L246" s="654" t="s">
        <v>68</v>
      </c>
      <c r="M246" s="339">
        <v>269</v>
      </c>
      <c r="N246" s="326">
        <v>7</v>
      </c>
      <c r="O246" s="388">
        <v>50403.5</v>
      </c>
      <c r="P246" s="605">
        <v>10176</v>
      </c>
      <c r="Q246" s="343">
        <f>5909490.25+3097966.75+1490952+971866.5+533653.5+131687+50403.5</f>
        <v>12186019.5</v>
      </c>
      <c r="R246" s="348">
        <f>649738+347416+170125+112162+66621+19435+10176</f>
        <v>1375673</v>
      </c>
      <c r="S246" s="421">
        <v>40907</v>
      </c>
    </row>
    <row r="247" spans="1:19" ht="10.5" customHeight="1">
      <c r="A247" s="250"/>
      <c r="B247" s="250"/>
      <c r="C247" s="248"/>
      <c r="D247" s="242" t="s">
        <v>292</v>
      </c>
      <c r="E247" s="247"/>
      <c r="F247" s="234"/>
      <c r="G247" s="650" t="s">
        <v>86</v>
      </c>
      <c r="H247" s="325" t="s">
        <v>90</v>
      </c>
      <c r="I247" s="339" t="s">
        <v>85</v>
      </c>
      <c r="J247" s="339" t="s">
        <v>84</v>
      </c>
      <c r="K247" s="653">
        <v>40865</v>
      </c>
      <c r="L247" s="654" t="s">
        <v>68</v>
      </c>
      <c r="M247" s="313">
        <v>269</v>
      </c>
      <c r="N247" s="416">
        <v>8</v>
      </c>
      <c r="O247" s="606">
        <v>9558</v>
      </c>
      <c r="P247" s="607">
        <v>1583</v>
      </c>
      <c r="Q247" s="419">
        <f>5909490.25+3097966.75+1490952+971866.5+533653.5+131687+50452.5+9558</f>
        <v>12195626.5</v>
      </c>
      <c r="R247" s="420">
        <f>649738+347416+170125+112162+66621+19435+10184+1583</f>
        <v>1377264</v>
      </c>
      <c r="S247" s="266">
        <v>40914</v>
      </c>
    </row>
    <row r="248" spans="1:19" ht="10.5" customHeight="1">
      <c r="A248" s="250"/>
      <c r="B248" s="250"/>
      <c r="C248" s="248"/>
      <c r="D248" s="242" t="s">
        <v>292</v>
      </c>
      <c r="E248" s="247"/>
      <c r="F248" s="234"/>
      <c r="G248" s="604" t="s">
        <v>86</v>
      </c>
      <c r="H248" s="65" t="s">
        <v>90</v>
      </c>
      <c r="I248" s="70" t="s">
        <v>85</v>
      </c>
      <c r="J248" s="70" t="s">
        <v>84</v>
      </c>
      <c r="K248" s="268">
        <v>40865</v>
      </c>
      <c r="L248" s="68" t="s">
        <v>68</v>
      </c>
      <c r="M248" s="339">
        <v>269</v>
      </c>
      <c r="N248" s="326">
        <v>9</v>
      </c>
      <c r="O248" s="388">
        <v>4400</v>
      </c>
      <c r="P248" s="605">
        <v>654</v>
      </c>
      <c r="Q248" s="343">
        <f>5909490.25+3097966.75+1490952+971866.5+533653.5+131687+50452.5+9558+4400</f>
        <v>12200026.5</v>
      </c>
      <c r="R248" s="348">
        <f>649738+347416+170125+112162+66621+19435+10184+1583+654</f>
        <v>1377918</v>
      </c>
      <c r="S248" s="266">
        <v>40921</v>
      </c>
    </row>
    <row r="249" spans="1:19" ht="10.5" customHeight="1">
      <c r="A249" s="480"/>
      <c r="B249" s="480"/>
      <c r="C249" s="476"/>
      <c r="D249" s="481" t="s">
        <v>292</v>
      </c>
      <c r="E249" s="472"/>
      <c r="F249" s="469"/>
      <c r="G249" s="604" t="s">
        <v>86</v>
      </c>
      <c r="H249" s="65" t="s">
        <v>90</v>
      </c>
      <c r="I249" s="70" t="s">
        <v>85</v>
      </c>
      <c r="J249" s="70" t="s">
        <v>84</v>
      </c>
      <c r="K249" s="268">
        <v>40865</v>
      </c>
      <c r="L249" s="68" t="s">
        <v>68</v>
      </c>
      <c r="M249" s="339">
        <v>269</v>
      </c>
      <c r="N249" s="326">
        <v>10</v>
      </c>
      <c r="O249" s="388">
        <v>1134</v>
      </c>
      <c r="P249" s="605">
        <v>159</v>
      </c>
      <c r="Q249" s="343">
        <f>5909490.25+3097966.75+1490952+971866.5+533653.5+131687+50452.5+9558+4400+2382</f>
        <v>12202408.5</v>
      </c>
      <c r="R249" s="348">
        <f>649738+347416+170125+112162+66621+19435+10184+1583+654+354</f>
        <v>1378272</v>
      </c>
      <c r="S249" s="266">
        <v>40928</v>
      </c>
    </row>
    <row r="250" spans="1:19" ht="10.5" customHeight="1">
      <c r="A250" s="248"/>
      <c r="B250" s="248"/>
      <c r="C250" s="248"/>
      <c r="D250" s="248"/>
      <c r="E250" s="247"/>
      <c r="F250" s="237" t="s">
        <v>54</v>
      </c>
      <c r="G250" s="616" t="s">
        <v>270</v>
      </c>
      <c r="H250" s="65" t="s">
        <v>283</v>
      </c>
      <c r="I250" s="69"/>
      <c r="J250" s="67" t="s">
        <v>270</v>
      </c>
      <c r="K250" s="269">
        <v>40095</v>
      </c>
      <c r="L250" s="68" t="s">
        <v>68</v>
      </c>
      <c r="M250" s="325">
        <v>52</v>
      </c>
      <c r="N250" s="326">
        <v>16</v>
      </c>
      <c r="O250" s="388">
        <v>952</v>
      </c>
      <c r="P250" s="605">
        <v>238</v>
      </c>
      <c r="Q250" s="343">
        <f>108013.25+68864+27976+10214+2402+2209+1188+2968+1780+1780+2427.4+364.82+248.58+1780+1188+952</f>
        <v>234355.05</v>
      </c>
      <c r="R250" s="348">
        <f>12202+8144+4339+1841+481+460+297+742+445+445+599+87+57+445+297+238</f>
        <v>31119</v>
      </c>
      <c r="S250" s="421">
        <v>40907</v>
      </c>
    </row>
    <row r="251" spans="1:19" ht="10.5" customHeight="1">
      <c r="A251" s="470"/>
      <c r="B251" s="470"/>
      <c r="C251" s="540"/>
      <c r="D251" s="470"/>
      <c r="E251" s="471"/>
      <c r="F251" s="472"/>
      <c r="G251" s="604" t="s">
        <v>450</v>
      </c>
      <c r="H251" s="67" t="s">
        <v>467</v>
      </c>
      <c r="I251" s="67" t="s">
        <v>89</v>
      </c>
      <c r="J251" s="67" t="s">
        <v>458</v>
      </c>
      <c r="K251" s="268">
        <v>40648</v>
      </c>
      <c r="L251" s="68" t="s">
        <v>68</v>
      </c>
      <c r="M251" s="325">
        <v>72</v>
      </c>
      <c r="N251" s="326">
        <v>26</v>
      </c>
      <c r="O251" s="388">
        <v>3801.5</v>
      </c>
      <c r="P251" s="605">
        <v>950</v>
      </c>
      <c r="Q251" s="343">
        <f>313705+218661+94172+73484.5+60319.5+15976+18868+7512+25645.5+15093+6591+2599+2683+1937.5+1629+2257+1715+1468+632+686+483+950+882+2440.5+336+3801.5</f>
        <v>874527</v>
      </c>
      <c r="R251" s="348">
        <f>29673+21437+10530+10169+8845+2631+2981+1155+3600+2641+1030+393+512+262+251+329+256+223+101+108+77+153+142+619+90+950</f>
        <v>99158</v>
      </c>
      <c r="S251" s="266">
        <v>40928</v>
      </c>
    </row>
    <row r="252" spans="1:19" ht="10.5" customHeight="1">
      <c r="A252" s="235"/>
      <c r="B252" s="235"/>
      <c r="C252" s="235"/>
      <c r="D252" s="235"/>
      <c r="E252" s="239"/>
      <c r="F252" s="258"/>
      <c r="G252" s="626" t="s">
        <v>135</v>
      </c>
      <c r="H252" s="65" t="s">
        <v>133</v>
      </c>
      <c r="I252" s="71" t="s">
        <v>99</v>
      </c>
      <c r="J252" s="69" t="s">
        <v>134</v>
      </c>
      <c r="K252" s="269">
        <v>40851</v>
      </c>
      <c r="L252" s="68" t="s">
        <v>52</v>
      </c>
      <c r="M252" s="360">
        <v>29</v>
      </c>
      <c r="N252" s="344">
        <v>9</v>
      </c>
      <c r="O252" s="394">
        <v>1050</v>
      </c>
      <c r="P252" s="633">
        <v>150</v>
      </c>
      <c r="Q252" s="349">
        <f>58904+19329.5+590+8101+236+218+391.5+325+1050</f>
        <v>89145</v>
      </c>
      <c r="R252" s="334">
        <f>5890+1991+54+1603+47+38+47+65+150</f>
        <v>9885</v>
      </c>
      <c r="S252" s="266">
        <v>40921</v>
      </c>
    </row>
    <row r="253" spans="1:19" ht="10.5" customHeight="1">
      <c r="A253" s="248"/>
      <c r="B253" s="248"/>
      <c r="C253" s="248"/>
      <c r="D253" s="248"/>
      <c r="E253" s="247"/>
      <c r="F253" s="255"/>
      <c r="G253" s="626" t="s">
        <v>135</v>
      </c>
      <c r="H253" s="65" t="s">
        <v>133</v>
      </c>
      <c r="I253" s="71" t="s">
        <v>99</v>
      </c>
      <c r="J253" s="69" t="s">
        <v>134</v>
      </c>
      <c r="K253" s="269">
        <v>40851</v>
      </c>
      <c r="L253" s="68" t="s">
        <v>52</v>
      </c>
      <c r="M253" s="360">
        <v>29</v>
      </c>
      <c r="N253" s="344">
        <v>7</v>
      </c>
      <c r="O253" s="631">
        <v>391.5</v>
      </c>
      <c r="P253" s="632">
        <v>47</v>
      </c>
      <c r="Q253" s="330">
        <f>58904+19329.5+590+8101+236+218+391.5</f>
        <v>87770</v>
      </c>
      <c r="R253" s="334">
        <f>5890+1991+54+1603+47+38+47</f>
        <v>9670</v>
      </c>
      <c r="S253" s="421">
        <v>40907</v>
      </c>
    </row>
    <row r="254" spans="1:19" ht="10.5" customHeight="1">
      <c r="A254" s="245" t="s">
        <v>223</v>
      </c>
      <c r="B254" s="248"/>
      <c r="C254" s="248"/>
      <c r="D254" s="248"/>
      <c r="E254" s="246" t="s">
        <v>55</v>
      </c>
      <c r="F254" s="234"/>
      <c r="G254" s="608" t="s">
        <v>199</v>
      </c>
      <c r="H254" s="65" t="s">
        <v>207</v>
      </c>
      <c r="I254" s="72" t="s">
        <v>94</v>
      </c>
      <c r="J254" s="72" t="s">
        <v>199</v>
      </c>
      <c r="K254" s="269">
        <v>40648</v>
      </c>
      <c r="L254" s="68" t="s">
        <v>12</v>
      </c>
      <c r="M254" s="325">
        <v>76</v>
      </c>
      <c r="N254" s="326">
        <v>38</v>
      </c>
      <c r="O254" s="386">
        <v>608</v>
      </c>
      <c r="P254" s="628">
        <v>119</v>
      </c>
      <c r="Q254" s="335">
        <v>571364</v>
      </c>
      <c r="R254" s="336">
        <v>61448</v>
      </c>
      <c r="S254" s="421">
        <v>40907</v>
      </c>
    </row>
    <row r="255" spans="1:19" ht="10.5" customHeight="1">
      <c r="A255" s="248"/>
      <c r="B255" s="248"/>
      <c r="C255" s="248"/>
      <c r="D255" s="248"/>
      <c r="E255" s="234"/>
      <c r="F255" s="237" t="s">
        <v>54</v>
      </c>
      <c r="G255" s="616" t="s">
        <v>115</v>
      </c>
      <c r="H255" s="65" t="s">
        <v>116</v>
      </c>
      <c r="I255" s="69"/>
      <c r="J255" s="67" t="s">
        <v>115</v>
      </c>
      <c r="K255" s="268">
        <v>40886</v>
      </c>
      <c r="L255" s="68" t="s">
        <v>12</v>
      </c>
      <c r="M255" s="325">
        <v>161</v>
      </c>
      <c r="N255" s="326">
        <v>4</v>
      </c>
      <c r="O255" s="386">
        <v>23157</v>
      </c>
      <c r="P255" s="628">
        <v>3682</v>
      </c>
      <c r="Q255" s="335">
        <v>853031</v>
      </c>
      <c r="R255" s="336">
        <v>102752</v>
      </c>
      <c r="S255" s="421">
        <v>40907</v>
      </c>
    </row>
    <row r="256" spans="1:19" ht="10.5" customHeight="1">
      <c r="A256" s="235"/>
      <c r="B256" s="235"/>
      <c r="C256" s="235"/>
      <c r="D256" s="235"/>
      <c r="E256" s="239"/>
      <c r="F256" s="237" t="s">
        <v>54</v>
      </c>
      <c r="G256" s="616" t="s">
        <v>115</v>
      </c>
      <c r="H256" s="65" t="s">
        <v>116</v>
      </c>
      <c r="I256" s="69"/>
      <c r="J256" s="67" t="s">
        <v>115</v>
      </c>
      <c r="K256" s="268">
        <v>40886</v>
      </c>
      <c r="L256" s="68" t="s">
        <v>12</v>
      </c>
      <c r="M256" s="309">
        <v>161</v>
      </c>
      <c r="N256" s="263">
        <v>5</v>
      </c>
      <c r="O256" s="610">
        <v>11189</v>
      </c>
      <c r="P256" s="611">
        <v>1816</v>
      </c>
      <c r="Q256" s="424">
        <v>864220</v>
      </c>
      <c r="R256" s="425">
        <v>104568</v>
      </c>
      <c r="S256" s="266">
        <v>40914</v>
      </c>
    </row>
    <row r="257" spans="1:19" ht="10.5" customHeight="1">
      <c r="A257" s="235"/>
      <c r="B257" s="235"/>
      <c r="C257" s="235"/>
      <c r="D257" s="235"/>
      <c r="E257" s="239"/>
      <c r="F257" s="237" t="s">
        <v>54</v>
      </c>
      <c r="G257" s="616" t="s">
        <v>115</v>
      </c>
      <c r="H257" s="65" t="s">
        <v>116</v>
      </c>
      <c r="I257" s="69"/>
      <c r="J257" s="67" t="s">
        <v>115</v>
      </c>
      <c r="K257" s="268">
        <v>40886</v>
      </c>
      <c r="L257" s="68" t="s">
        <v>12</v>
      </c>
      <c r="M257" s="325">
        <v>161</v>
      </c>
      <c r="N257" s="326">
        <v>6</v>
      </c>
      <c r="O257" s="392">
        <v>9906</v>
      </c>
      <c r="P257" s="612">
        <v>1845</v>
      </c>
      <c r="Q257" s="335">
        <v>874126</v>
      </c>
      <c r="R257" s="336">
        <v>106413</v>
      </c>
      <c r="S257" s="266">
        <v>40921</v>
      </c>
    </row>
    <row r="258" spans="1:19" ht="10.5" customHeight="1">
      <c r="A258" s="470"/>
      <c r="B258" s="470"/>
      <c r="C258" s="470"/>
      <c r="D258" s="470"/>
      <c r="E258" s="471"/>
      <c r="F258" s="474" t="s">
        <v>54</v>
      </c>
      <c r="G258" s="616" t="s">
        <v>115</v>
      </c>
      <c r="H258" s="65" t="s">
        <v>116</v>
      </c>
      <c r="I258" s="69"/>
      <c r="J258" s="67" t="s">
        <v>115</v>
      </c>
      <c r="K258" s="268">
        <v>40886</v>
      </c>
      <c r="L258" s="68" t="s">
        <v>12</v>
      </c>
      <c r="M258" s="325">
        <v>161</v>
      </c>
      <c r="N258" s="326">
        <v>7</v>
      </c>
      <c r="O258" s="392">
        <v>5488</v>
      </c>
      <c r="P258" s="612">
        <v>871</v>
      </c>
      <c r="Q258" s="333">
        <v>879619</v>
      </c>
      <c r="R258" s="334">
        <v>107284</v>
      </c>
      <c r="S258" s="266">
        <v>40928</v>
      </c>
    </row>
  </sheetData>
  <sheetProtection/>
  <mergeCells count="2">
    <mergeCell ref="A1:S1"/>
    <mergeCell ref="A3:F3"/>
  </mergeCells>
  <printOptions/>
  <pageMargins left="0.7" right="0.7" top="0.75" bottom="0.75" header="0.3" footer="0.3"/>
  <pageSetup orientation="portrait" paperSize="9"/>
  <ignoredErrors>
    <ignoredError sqref="Q4:R47" unlockedFormula="1"/>
  </ignoredErrors>
</worksheet>
</file>

<file path=xl/worksheets/sheet5.xml><?xml version="1.0" encoding="utf-8"?>
<worksheet xmlns="http://schemas.openxmlformats.org/spreadsheetml/2006/main" xmlns:r="http://schemas.openxmlformats.org/officeDocument/2006/relationships">
  <dimension ref="A1:S22"/>
  <sheetViews>
    <sheetView zoomScalePageLayoutView="0" workbookViewId="0" topLeftCell="A1">
      <selection activeCell="A3" sqref="A3:G3"/>
    </sheetView>
  </sheetViews>
  <sheetFormatPr defaultColWidth="9.140625" defaultRowHeight="12.75"/>
  <cols>
    <col min="1" max="7" width="1.8515625" style="0" customWidth="1"/>
    <col min="8" max="8" width="40.8515625" style="0" bestFit="1" customWidth="1"/>
    <col min="9" max="9" width="22.00390625" style="0" bestFit="1" customWidth="1"/>
    <col min="10" max="10" width="17.8515625" style="0" bestFit="1" customWidth="1"/>
    <col min="11" max="11" width="39.8515625" style="0" bestFit="1" customWidth="1"/>
    <col min="12" max="12" width="7.8515625" style="0" bestFit="1" customWidth="1"/>
    <col min="13" max="13" width="19.7109375" style="0" bestFit="1" customWidth="1"/>
    <col min="14" max="14" width="6.7109375" style="0" bestFit="1" customWidth="1"/>
    <col min="15" max="15" width="5.421875" style="0" bestFit="1" customWidth="1"/>
    <col min="16" max="16" width="11.28125" style="0" bestFit="1" customWidth="1"/>
    <col min="17" max="17" width="7.421875" style="0" bestFit="1" customWidth="1"/>
    <col min="18" max="18" width="5.421875" style="0" bestFit="1" customWidth="1"/>
    <col min="19" max="19" width="7.8515625" style="0" bestFit="1" customWidth="1"/>
  </cols>
  <sheetData>
    <row r="1" spans="1:19" ht="15">
      <c r="A1" s="741" t="s">
        <v>439</v>
      </c>
      <c r="B1" s="741"/>
      <c r="C1" s="741"/>
      <c r="D1" s="741"/>
      <c r="E1" s="741"/>
      <c r="F1" s="741"/>
      <c r="G1" s="741"/>
      <c r="H1" s="741"/>
      <c r="I1" s="741"/>
      <c r="J1" s="741"/>
      <c r="K1" s="741"/>
      <c r="L1" s="741"/>
      <c r="M1" s="741"/>
      <c r="N1" s="741"/>
      <c r="O1" s="741"/>
      <c r="P1" s="741"/>
      <c r="Q1" s="741"/>
      <c r="R1" s="741"/>
      <c r="S1" s="741"/>
    </row>
    <row r="2" spans="1:19" ht="12.75">
      <c r="A2" s="385"/>
      <c r="B2" s="385"/>
      <c r="C2" s="385"/>
      <c r="D2" s="385"/>
      <c r="E2" s="385"/>
      <c r="F2" s="385"/>
      <c r="G2" s="385"/>
      <c r="H2" s="385"/>
      <c r="I2" s="385"/>
      <c r="J2" s="385"/>
      <c r="K2" s="385"/>
      <c r="L2" s="385" t="s">
        <v>409</v>
      </c>
      <c r="M2" s="385"/>
      <c r="N2" s="385" t="s">
        <v>410</v>
      </c>
      <c r="O2" s="385"/>
      <c r="P2" s="385" t="s">
        <v>314</v>
      </c>
      <c r="Q2" s="385" t="s">
        <v>314</v>
      </c>
      <c r="R2" s="385"/>
      <c r="S2" s="385" t="s">
        <v>411</v>
      </c>
    </row>
    <row r="3" spans="1:19" ht="13.5" thickBot="1">
      <c r="A3" s="742" t="s">
        <v>412</v>
      </c>
      <c r="B3" s="742"/>
      <c r="C3" s="742"/>
      <c r="D3" s="742"/>
      <c r="E3" s="742"/>
      <c r="F3" s="742"/>
      <c r="G3" s="742"/>
      <c r="H3" s="649" t="s">
        <v>413</v>
      </c>
      <c r="I3" s="649" t="s">
        <v>414</v>
      </c>
      <c r="J3" s="649" t="s">
        <v>415</v>
      </c>
      <c r="K3" s="649" t="s">
        <v>416</v>
      </c>
      <c r="L3" s="649" t="s">
        <v>417</v>
      </c>
      <c r="M3" s="649" t="s">
        <v>418</v>
      </c>
      <c r="N3" s="649" t="s">
        <v>419</v>
      </c>
      <c r="O3" s="649" t="s">
        <v>310</v>
      </c>
      <c r="P3" s="649" t="s">
        <v>315</v>
      </c>
      <c r="Q3" s="649" t="s">
        <v>316</v>
      </c>
      <c r="R3" s="649" t="s">
        <v>420</v>
      </c>
      <c r="S3" s="649" t="s">
        <v>421</v>
      </c>
    </row>
    <row r="4" spans="1:19" ht="15.75">
      <c r="A4" s="488"/>
      <c r="B4" s="644" t="s">
        <v>223</v>
      </c>
      <c r="C4" s="645">
        <v>3</v>
      </c>
      <c r="D4" s="646">
        <v>2</v>
      </c>
      <c r="E4" s="488"/>
      <c r="F4" s="647" t="s">
        <v>55</v>
      </c>
      <c r="G4" s="489"/>
      <c r="H4" s="406" t="s">
        <v>383</v>
      </c>
      <c r="I4" s="302" t="s">
        <v>217</v>
      </c>
      <c r="J4" s="407" t="s">
        <v>94</v>
      </c>
      <c r="K4" s="408" t="s">
        <v>384</v>
      </c>
      <c r="L4" s="270">
        <v>40921</v>
      </c>
      <c r="M4" s="267" t="s">
        <v>12</v>
      </c>
      <c r="N4" s="409">
        <v>101</v>
      </c>
      <c r="O4" s="410">
        <v>2</v>
      </c>
      <c r="P4" s="536">
        <v>4701341</v>
      </c>
      <c r="Q4" s="648">
        <v>446529</v>
      </c>
      <c r="R4" s="468">
        <f>P4/Q4</f>
        <v>10.528635318198818</v>
      </c>
      <c r="S4" s="307">
        <v>40928</v>
      </c>
    </row>
    <row r="5" spans="1:19" ht="15.75">
      <c r="A5" s="470"/>
      <c r="B5" s="470"/>
      <c r="C5" s="470"/>
      <c r="D5" s="470"/>
      <c r="E5" s="470"/>
      <c r="F5" s="471"/>
      <c r="G5" s="474" t="s">
        <v>54</v>
      </c>
      <c r="H5" s="397" t="s">
        <v>347</v>
      </c>
      <c r="I5" s="65" t="s">
        <v>348</v>
      </c>
      <c r="J5" s="72"/>
      <c r="K5" s="72" t="s">
        <v>347</v>
      </c>
      <c r="L5" s="268">
        <v>40914</v>
      </c>
      <c r="M5" s="68" t="s">
        <v>12</v>
      </c>
      <c r="N5" s="325">
        <v>204</v>
      </c>
      <c r="O5" s="326">
        <v>3</v>
      </c>
      <c r="P5" s="333">
        <v>4281506</v>
      </c>
      <c r="Q5" s="334">
        <v>456384</v>
      </c>
      <c r="R5" s="337">
        <f>P5/Q5</f>
        <v>9.38136744495863</v>
      </c>
      <c r="S5" s="266">
        <v>40928</v>
      </c>
    </row>
    <row r="6" spans="1:19" ht="15.75">
      <c r="A6" s="470"/>
      <c r="B6" s="482" t="s">
        <v>223</v>
      </c>
      <c r="C6" s="477">
        <v>3</v>
      </c>
      <c r="D6" s="470"/>
      <c r="E6" s="481" t="s">
        <v>292</v>
      </c>
      <c r="F6" s="475" t="s">
        <v>55</v>
      </c>
      <c r="G6" s="472"/>
      <c r="H6" s="256" t="s">
        <v>431</v>
      </c>
      <c r="I6" s="65" t="s">
        <v>433</v>
      </c>
      <c r="J6" s="66" t="s">
        <v>95</v>
      </c>
      <c r="K6" s="68" t="s">
        <v>432</v>
      </c>
      <c r="L6" s="268">
        <v>40928</v>
      </c>
      <c r="M6" s="68" t="s">
        <v>10</v>
      </c>
      <c r="N6" s="325">
        <v>202</v>
      </c>
      <c r="O6" s="344">
        <v>1</v>
      </c>
      <c r="P6" s="343">
        <v>2359797</v>
      </c>
      <c r="Q6" s="348">
        <v>232494</v>
      </c>
      <c r="R6" s="337">
        <f>P6/Q6</f>
        <v>10.149926449714831</v>
      </c>
      <c r="S6" s="266">
        <v>40928</v>
      </c>
    </row>
    <row r="7" spans="1:19" ht="15.75">
      <c r="A7" s="470"/>
      <c r="B7" s="470"/>
      <c r="C7" s="470"/>
      <c r="D7" s="470"/>
      <c r="E7" s="470"/>
      <c r="F7" s="543"/>
      <c r="G7" s="472"/>
      <c r="H7" s="256" t="s">
        <v>391</v>
      </c>
      <c r="I7" s="65" t="s">
        <v>93</v>
      </c>
      <c r="J7" s="66" t="s">
        <v>95</v>
      </c>
      <c r="K7" s="68" t="s">
        <v>392</v>
      </c>
      <c r="L7" s="268">
        <v>40556</v>
      </c>
      <c r="M7" s="68" t="s">
        <v>10</v>
      </c>
      <c r="N7" s="325">
        <v>85</v>
      </c>
      <c r="O7" s="344">
        <v>2</v>
      </c>
      <c r="P7" s="343">
        <v>1381879</v>
      </c>
      <c r="Q7" s="348">
        <v>124283</v>
      </c>
      <c r="R7" s="337">
        <f>P7/Q7</f>
        <v>11.118809491241763</v>
      </c>
      <c r="S7" s="266">
        <v>40928</v>
      </c>
    </row>
    <row r="8" spans="1:19" ht="15.75">
      <c r="A8" s="470"/>
      <c r="B8" s="470"/>
      <c r="C8" s="477">
        <v>3</v>
      </c>
      <c r="D8" s="470"/>
      <c r="E8" s="470"/>
      <c r="F8" s="471"/>
      <c r="G8" s="471"/>
      <c r="H8" s="238" t="s">
        <v>345</v>
      </c>
      <c r="I8" s="65" t="s">
        <v>126</v>
      </c>
      <c r="J8" s="70" t="s">
        <v>89</v>
      </c>
      <c r="K8" s="70" t="s">
        <v>352</v>
      </c>
      <c r="L8" s="269">
        <v>40914</v>
      </c>
      <c r="M8" s="68" t="s">
        <v>68</v>
      </c>
      <c r="N8" s="325">
        <v>66</v>
      </c>
      <c r="O8" s="326">
        <v>3</v>
      </c>
      <c r="P8" s="343">
        <f>683638.5+541400+108974</f>
        <v>1334012.5</v>
      </c>
      <c r="Q8" s="348">
        <f>65177+52837+11432</f>
        <v>129446</v>
      </c>
      <c r="R8" s="337">
        <f>P8/Q8</f>
        <v>10.305552122120421</v>
      </c>
      <c r="S8" s="266">
        <v>40928</v>
      </c>
    </row>
    <row r="9" spans="1:19" ht="15.75">
      <c r="A9" s="470"/>
      <c r="B9" s="470"/>
      <c r="C9" s="470"/>
      <c r="D9" s="470"/>
      <c r="E9" s="470"/>
      <c r="F9" s="471"/>
      <c r="G9" s="474" t="s">
        <v>54</v>
      </c>
      <c r="H9" s="396" t="s">
        <v>381</v>
      </c>
      <c r="I9" s="68" t="s">
        <v>382</v>
      </c>
      <c r="J9" s="68"/>
      <c r="K9" s="68" t="s">
        <v>381</v>
      </c>
      <c r="L9" s="268">
        <v>40921</v>
      </c>
      <c r="M9" s="68" t="s">
        <v>52</v>
      </c>
      <c r="N9" s="325">
        <v>49</v>
      </c>
      <c r="O9" s="344">
        <v>2</v>
      </c>
      <c r="P9" s="330">
        <f>357713+343246.5</f>
        <v>700959.5</v>
      </c>
      <c r="Q9" s="334">
        <f>33400+31498</f>
        <v>64898</v>
      </c>
      <c r="R9" s="337">
        <f>P9/Q9</f>
        <v>10.800941477395297</v>
      </c>
      <c r="S9" s="266">
        <v>40928</v>
      </c>
    </row>
    <row r="10" spans="1:19" ht="15.75">
      <c r="A10" s="470"/>
      <c r="B10" s="470"/>
      <c r="C10" s="470"/>
      <c r="D10" s="470"/>
      <c r="E10" s="470"/>
      <c r="F10" s="471"/>
      <c r="G10" s="471"/>
      <c r="H10" s="249" t="s">
        <v>214</v>
      </c>
      <c r="I10" s="70" t="s">
        <v>216</v>
      </c>
      <c r="J10" s="68" t="s">
        <v>95</v>
      </c>
      <c r="K10" s="70" t="s">
        <v>215</v>
      </c>
      <c r="L10" s="268">
        <v>40907</v>
      </c>
      <c r="M10" s="68" t="s">
        <v>10</v>
      </c>
      <c r="N10" s="356">
        <v>64</v>
      </c>
      <c r="O10" s="344">
        <v>4</v>
      </c>
      <c r="P10" s="343">
        <v>674908</v>
      </c>
      <c r="Q10" s="348">
        <v>59660</v>
      </c>
      <c r="R10" s="337">
        <f>P10/Q10</f>
        <v>11.312571237009722</v>
      </c>
      <c r="S10" s="266">
        <v>40928</v>
      </c>
    </row>
    <row r="11" spans="1:19" ht="15.75">
      <c r="A11" s="470"/>
      <c r="B11" s="470"/>
      <c r="C11" s="470"/>
      <c r="D11" s="470"/>
      <c r="E11" s="470"/>
      <c r="F11" s="471"/>
      <c r="G11" s="471"/>
      <c r="H11" s="240" t="s">
        <v>196</v>
      </c>
      <c r="I11" s="65" t="s">
        <v>212</v>
      </c>
      <c r="J11" s="72" t="s">
        <v>124</v>
      </c>
      <c r="K11" s="72" t="s">
        <v>203</v>
      </c>
      <c r="L11" s="268">
        <v>40907</v>
      </c>
      <c r="M11" s="68" t="s">
        <v>12</v>
      </c>
      <c r="N11" s="325">
        <v>60</v>
      </c>
      <c r="O11" s="326">
        <v>4</v>
      </c>
      <c r="P11" s="333">
        <v>661630</v>
      </c>
      <c r="Q11" s="334">
        <v>65944</v>
      </c>
      <c r="R11" s="337">
        <f>P11/Q11</f>
        <v>10.033209996360549</v>
      </c>
      <c r="S11" s="266">
        <v>40928</v>
      </c>
    </row>
    <row r="12" spans="1:19" ht="15.75">
      <c r="A12" s="470"/>
      <c r="B12" s="482" t="s">
        <v>223</v>
      </c>
      <c r="C12" s="470"/>
      <c r="D12" s="470"/>
      <c r="E12" s="470"/>
      <c r="F12" s="471"/>
      <c r="G12" s="471"/>
      <c r="H12" s="238" t="s">
        <v>344</v>
      </c>
      <c r="I12" s="65" t="s">
        <v>126</v>
      </c>
      <c r="J12" s="70" t="s">
        <v>89</v>
      </c>
      <c r="K12" s="70" t="s">
        <v>351</v>
      </c>
      <c r="L12" s="269">
        <v>40914</v>
      </c>
      <c r="M12" s="68" t="s">
        <v>68</v>
      </c>
      <c r="N12" s="325">
        <v>56</v>
      </c>
      <c r="O12" s="326">
        <v>3</v>
      </c>
      <c r="P12" s="343">
        <f>212792+161708.5+190927</f>
        <v>565427.5</v>
      </c>
      <c r="Q12" s="348">
        <f>19942+16687+19909</f>
        <v>56538</v>
      </c>
      <c r="R12" s="337">
        <f>P12/Q12</f>
        <v>10.00084014291273</v>
      </c>
      <c r="S12" s="266">
        <v>40928</v>
      </c>
    </row>
    <row r="13" spans="1:19" ht="15.75">
      <c r="A13" s="470"/>
      <c r="B13" s="480"/>
      <c r="C13" s="480"/>
      <c r="D13" s="470"/>
      <c r="E13" s="480"/>
      <c r="F13" s="471"/>
      <c r="G13" s="474" t="s">
        <v>54</v>
      </c>
      <c r="H13" s="395" t="s">
        <v>337</v>
      </c>
      <c r="I13" s="70" t="s">
        <v>339</v>
      </c>
      <c r="J13" s="65"/>
      <c r="K13" s="70" t="s">
        <v>337</v>
      </c>
      <c r="L13" s="268">
        <v>40914</v>
      </c>
      <c r="M13" s="68" t="s">
        <v>53</v>
      </c>
      <c r="N13" s="352">
        <v>97</v>
      </c>
      <c r="O13" s="510">
        <v>3</v>
      </c>
      <c r="P13" s="333">
        <f>216520+198358.5+149589.5</f>
        <v>564468</v>
      </c>
      <c r="Q13" s="334">
        <f>26831+25025+19383</f>
        <v>71239</v>
      </c>
      <c r="R13" s="337">
        <f>P13/Q13</f>
        <v>7.923581184463567</v>
      </c>
      <c r="S13" s="266">
        <v>40928</v>
      </c>
    </row>
    <row r="14" spans="1:19" ht="15.75">
      <c r="A14" s="470"/>
      <c r="B14" s="470"/>
      <c r="C14" s="470"/>
      <c r="D14" s="470"/>
      <c r="E14" s="470"/>
      <c r="F14" s="471"/>
      <c r="G14" s="471"/>
      <c r="H14" s="240" t="s">
        <v>434</v>
      </c>
      <c r="I14" s="65" t="s">
        <v>91</v>
      </c>
      <c r="J14" s="72" t="s">
        <v>94</v>
      </c>
      <c r="K14" s="72" t="s">
        <v>427</v>
      </c>
      <c r="L14" s="268">
        <v>40928</v>
      </c>
      <c r="M14" s="68" t="s">
        <v>12</v>
      </c>
      <c r="N14" s="325">
        <v>57</v>
      </c>
      <c r="O14" s="326">
        <v>1</v>
      </c>
      <c r="P14" s="333">
        <v>548761</v>
      </c>
      <c r="Q14" s="334">
        <v>55405</v>
      </c>
      <c r="R14" s="337">
        <f>P14/Q14</f>
        <v>9.904539301507084</v>
      </c>
      <c r="S14" s="266">
        <v>40928</v>
      </c>
    </row>
    <row r="15" spans="1:19" ht="15.75">
      <c r="A15" s="470"/>
      <c r="B15" s="470"/>
      <c r="C15" s="470"/>
      <c r="D15" s="470"/>
      <c r="E15" s="470"/>
      <c r="F15" s="471"/>
      <c r="G15" s="471"/>
      <c r="H15" s="238" t="s">
        <v>341</v>
      </c>
      <c r="I15" s="65" t="s">
        <v>342</v>
      </c>
      <c r="J15" s="70" t="s">
        <v>189</v>
      </c>
      <c r="K15" s="70" t="s">
        <v>343</v>
      </c>
      <c r="L15" s="269">
        <v>40914</v>
      </c>
      <c r="M15" s="68" t="s">
        <v>8</v>
      </c>
      <c r="N15" s="339">
        <v>36</v>
      </c>
      <c r="O15" s="340">
        <v>3</v>
      </c>
      <c r="P15" s="343">
        <v>481822</v>
      </c>
      <c r="Q15" s="348">
        <v>40065</v>
      </c>
      <c r="R15" s="337">
        <f>P15/Q15</f>
        <v>12.026007737426681</v>
      </c>
      <c r="S15" s="266">
        <v>40928</v>
      </c>
    </row>
    <row r="16" spans="1:19" ht="15.75">
      <c r="A16" s="540"/>
      <c r="B16" s="540"/>
      <c r="C16" s="540"/>
      <c r="D16" s="470"/>
      <c r="E16" s="540"/>
      <c r="F16" s="471"/>
      <c r="G16" s="472"/>
      <c r="H16" s="256" t="s">
        <v>393</v>
      </c>
      <c r="I16" s="65" t="s">
        <v>396</v>
      </c>
      <c r="J16" s="68" t="s">
        <v>394</v>
      </c>
      <c r="K16" s="68" t="s">
        <v>395</v>
      </c>
      <c r="L16" s="268">
        <v>40921</v>
      </c>
      <c r="M16" s="68" t="s">
        <v>370</v>
      </c>
      <c r="N16" s="325">
        <v>30</v>
      </c>
      <c r="O16" s="326">
        <v>2</v>
      </c>
      <c r="P16" s="350">
        <v>390190</v>
      </c>
      <c r="Q16" s="351">
        <v>28802</v>
      </c>
      <c r="R16" s="337">
        <f>P16/Q16</f>
        <v>13.547323102562322</v>
      </c>
      <c r="S16" s="266">
        <v>40928</v>
      </c>
    </row>
    <row r="17" spans="1:19" ht="15.75">
      <c r="A17" s="470"/>
      <c r="B17" s="470"/>
      <c r="C17" s="470"/>
      <c r="D17" s="470"/>
      <c r="E17" s="470"/>
      <c r="F17" s="471"/>
      <c r="G17" s="471"/>
      <c r="H17" s="238" t="s">
        <v>428</v>
      </c>
      <c r="I17" s="65" t="s">
        <v>126</v>
      </c>
      <c r="J17" s="70" t="s">
        <v>89</v>
      </c>
      <c r="K17" s="70" t="s">
        <v>429</v>
      </c>
      <c r="L17" s="269">
        <v>40928</v>
      </c>
      <c r="M17" s="68" t="s">
        <v>68</v>
      </c>
      <c r="N17" s="339">
        <v>55</v>
      </c>
      <c r="O17" s="326">
        <v>1</v>
      </c>
      <c r="P17" s="343">
        <f>328018</f>
        <v>328018</v>
      </c>
      <c r="Q17" s="348">
        <f>28733</f>
        <v>28733</v>
      </c>
      <c r="R17" s="337">
        <f>P17/Q17</f>
        <v>11.416072112205478</v>
      </c>
      <c r="S17" s="266">
        <v>40928</v>
      </c>
    </row>
    <row r="18" spans="1:19" ht="15.75">
      <c r="A18" s="470"/>
      <c r="B18" s="470"/>
      <c r="C18" s="470"/>
      <c r="D18" s="470"/>
      <c r="E18" s="470"/>
      <c r="F18" s="471"/>
      <c r="G18" s="471"/>
      <c r="H18" s="243" t="s">
        <v>224</v>
      </c>
      <c r="I18" s="65" t="s">
        <v>193</v>
      </c>
      <c r="J18" s="69" t="s">
        <v>128</v>
      </c>
      <c r="K18" s="67" t="s">
        <v>191</v>
      </c>
      <c r="L18" s="269">
        <v>40907</v>
      </c>
      <c r="M18" s="68" t="s">
        <v>68</v>
      </c>
      <c r="N18" s="325">
        <v>19</v>
      </c>
      <c r="O18" s="326">
        <v>4</v>
      </c>
      <c r="P18" s="343">
        <f>108631+115157+28332.5+21104.5</f>
        <v>273225</v>
      </c>
      <c r="Q18" s="348">
        <f>8552+8628+2468+2132</f>
        <v>21780</v>
      </c>
      <c r="R18" s="337">
        <f>P18/Q18</f>
        <v>12.544765840220386</v>
      </c>
      <c r="S18" s="266">
        <v>40928</v>
      </c>
    </row>
    <row r="19" spans="1:19" ht="15.75">
      <c r="A19" s="235"/>
      <c r="B19" s="245" t="s">
        <v>223</v>
      </c>
      <c r="C19" s="254">
        <v>3</v>
      </c>
      <c r="D19" s="235"/>
      <c r="E19" s="235"/>
      <c r="F19" s="246" t="s">
        <v>55</v>
      </c>
      <c r="G19" s="391"/>
      <c r="H19" s="253" t="s">
        <v>219</v>
      </c>
      <c r="I19" s="69" t="s">
        <v>183</v>
      </c>
      <c r="J19" s="65" t="s">
        <v>189</v>
      </c>
      <c r="K19" s="70" t="s">
        <v>181</v>
      </c>
      <c r="L19" s="268">
        <v>40907</v>
      </c>
      <c r="M19" s="68" t="s">
        <v>8</v>
      </c>
      <c r="N19" s="352">
        <v>73</v>
      </c>
      <c r="O19" s="340">
        <v>3</v>
      </c>
      <c r="P19" s="343">
        <v>141554</v>
      </c>
      <c r="Q19" s="348">
        <v>12703</v>
      </c>
      <c r="R19" s="337">
        <f>P19/Q19</f>
        <v>11.143351964102967</v>
      </c>
      <c r="S19" s="338">
        <v>40921</v>
      </c>
    </row>
    <row r="20" spans="1:19" ht="15.75">
      <c r="A20" s="470"/>
      <c r="B20" s="540"/>
      <c r="C20" s="540"/>
      <c r="D20" s="470"/>
      <c r="E20" s="540"/>
      <c r="F20" s="471"/>
      <c r="G20" s="472"/>
      <c r="H20" s="256" t="s">
        <v>374</v>
      </c>
      <c r="I20" s="65" t="s">
        <v>376</v>
      </c>
      <c r="J20" s="68" t="s">
        <v>260</v>
      </c>
      <c r="K20" s="68" t="s">
        <v>375</v>
      </c>
      <c r="L20" s="268">
        <v>40921</v>
      </c>
      <c r="M20" s="68" t="s">
        <v>332</v>
      </c>
      <c r="N20" s="325">
        <v>16</v>
      </c>
      <c r="O20" s="326">
        <v>2</v>
      </c>
      <c r="P20" s="333">
        <v>109862.5</v>
      </c>
      <c r="Q20" s="334">
        <v>8935</v>
      </c>
      <c r="R20" s="337">
        <f>P20/Q20</f>
        <v>12.295747062115277</v>
      </c>
      <c r="S20" s="266">
        <v>40928</v>
      </c>
    </row>
    <row r="21" spans="1:19" ht="15.75">
      <c r="A21" s="235"/>
      <c r="B21" s="235"/>
      <c r="C21" s="235"/>
      <c r="D21" s="235"/>
      <c r="E21" s="235"/>
      <c r="F21" s="246" t="s">
        <v>55</v>
      </c>
      <c r="G21" s="239"/>
      <c r="H21" s="256" t="s">
        <v>157</v>
      </c>
      <c r="I21" s="68" t="s">
        <v>163</v>
      </c>
      <c r="J21" s="68" t="s">
        <v>128</v>
      </c>
      <c r="K21" s="68" t="s">
        <v>160</v>
      </c>
      <c r="L21" s="268">
        <v>40907</v>
      </c>
      <c r="M21" s="68" t="s">
        <v>13</v>
      </c>
      <c r="N21" s="309">
        <v>2</v>
      </c>
      <c r="O21" s="263">
        <v>2</v>
      </c>
      <c r="P21" s="261">
        <v>2965</v>
      </c>
      <c r="Q21" s="265">
        <v>448</v>
      </c>
      <c r="R21" s="262">
        <f>P21/Q21</f>
        <v>6.618303571428571</v>
      </c>
      <c r="S21" s="266">
        <v>40914</v>
      </c>
    </row>
    <row r="22" spans="1:19" ht="15.75">
      <c r="A22" s="235"/>
      <c r="B22" s="235"/>
      <c r="C22" s="235"/>
      <c r="D22" s="235"/>
      <c r="E22" s="235"/>
      <c r="F22" s="239"/>
      <c r="G22" s="239"/>
      <c r="H22" s="256" t="s">
        <v>158</v>
      </c>
      <c r="I22" s="68" t="s">
        <v>162</v>
      </c>
      <c r="J22" s="68" t="s">
        <v>79</v>
      </c>
      <c r="K22" s="68" t="s">
        <v>161</v>
      </c>
      <c r="L22" s="269">
        <v>40907</v>
      </c>
      <c r="M22" s="68" t="s">
        <v>13</v>
      </c>
      <c r="N22" s="309">
        <v>1</v>
      </c>
      <c r="O22" s="263">
        <v>2</v>
      </c>
      <c r="P22" s="261">
        <v>2721</v>
      </c>
      <c r="Q22" s="265">
        <v>289</v>
      </c>
      <c r="R22" s="262">
        <f>P22/Q22</f>
        <v>9.415224913494809</v>
      </c>
      <c r="S22" s="266">
        <v>40914</v>
      </c>
    </row>
  </sheetData>
  <sheetProtection/>
  <mergeCells count="2">
    <mergeCell ref="A1:S1"/>
    <mergeCell ref="A3:G3"/>
  </mergeCells>
  <printOptions/>
  <pageMargins left="0.7" right="0.7" top="0.75" bottom="0.75" header="0.3" footer="0.3"/>
  <pageSetup orientation="portrait" paperSize="9"/>
  <ignoredErrors>
    <ignoredError sqref="P8:Q22" unlockedFormula="1"/>
  </ignoredErrors>
</worksheet>
</file>

<file path=xl/worksheets/sheet6.xml><?xml version="1.0" encoding="utf-8"?>
<worksheet xmlns="http://schemas.openxmlformats.org/spreadsheetml/2006/main" xmlns:r="http://schemas.openxmlformats.org/officeDocument/2006/relationships">
  <dimension ref="A1:K17"/>
  <sheetViews>
    <sheetView zoomScalePageLayoutView="0" workbookViewId="0" topLeftCell="A1">
      <selection activeCell="A4" sqref="A4"/>
    </sheetView>
  </sheetViews>
  <sheetFormatPr defaultColWidth="9.140625" defaultRowHeight="12.75"/>
  <cols>
    <col min="1" max="1" width="7.00390625" style="133" bestFit="1" customWidth="1"/>
    <col min="2" max="2" width="11.28125" style="134" bestFit="1" customWidth="1"/>
    <col min="3" max="3" width="15.7109375" style="135" customWidth="1"/>
    <col min="4" max="4" width="18.421875" style="136" customWidth="1"/>
    <col min="5" max="5" width="18.421875" style="137" customWidth="1"/>
    <col min="6" max="6" width="14.28125" style="137" bestFit="1" customWidth="1"/>
    <col min="7" max="7" width="18.421875" style="136" customWidth="1"/>
    <col min="8" max="8" width="18.421875" style="137" bestFit="1" customWidth="1"/>
    <col min="9" max="9" width="15.7109375" style="133" bestFit="1" customWidth="1"/>
    <col min="10" max="10" width="34.421875" style="132" bestFit="1" customWidth="1"/>
    <col min="11" max="11" width="18.421875" style="137" customWidth="1"/>
    <col min="12" max="16384" width="9.140625" style="133" customWidth="1"/>
  </cols>
  <sheetData>
    <row r="1" spans="1:11" ht="18.75">
      <c r="A1" s="743" t="s">
        <v>326</v>
      </c>
      <c r="B1" s="744"/>
      <c r="C1" s="744"/>
      <c r="D1" s="744"/>
      <c r="E1" s="744"/>
      <c r="F1" s="744"/>
      <c r="G1" s="744"/>
      <c r="H1" s="744"/>
      <c r="I1" s="744"/>
      <c r="J1" s="744"/>
      <c r="K1" s="744"/>
    </row>
    <row r="2" spans="1:11" s="132" customFormat="1" ht="18.75">
      <c r="A2" s="138"/>
      <c r="B2" s="139"/>
      <c r="C2" s="140" t="s">
        <v>311</v>
      </c>
      <c r="D2" s="141"/>
      <c r="E2" s="142" t="s">
        <v>314</v>
      </c>
      <c r="F2" s="138" t="s">
        <v>314</v>
      </c>
      <c r="G2" s="141" t="s">
        <v>318</v>
      </c>
      <c r="H2" s="141" t="s">
        <v>318</v>
      </c>
      <c r="I2" s="138" t="s">
        <v>319</v>
      </c>
      <c r="J2" s="138" t="s">
        <v>322</v>
      </c>
      <c r="K2" s="142" t="s">
        <v>316</v>
      </c>
    </row>
    <row r="3" spans="1:11" s="132" customFormat="1" ht="18.75">
      <c r="A3" s="138"/>
      <c r="B3" s="139"/>
      <c r="C3" s="140" t="s">
        <v>312</v>
      </c>
      <c r="D3" s="141" t="s">
        <v>314</v>
      </c>
      <c r="E3" s="142" t="s">
        <v>316</v>
      </c>
      <c r="F3" s="138" t="s">
        <v>328</v>
      </c>
      <c r="G3" s="141" t="s">
        <v>314</v>
      </c>
      <c r="H3" s="141" t="s">
        <v>314</v>
      </c>
      <c r="I3" s="138" t="s">
        <v>320</v>
      </c>
      <c r="J3" s="138" t="s">
        <v>323</v>
      </c>
      <c r="K3" s="142" t="s">
        <v>325</v>
      </c>
    </row>
    <row r="4" spans="1:11" s="132" customFormat="1" ht="19.5" thickBot="1">
      <c r="A4" s="150" t="s">
        <v>309</v>
      </c>
      <c r="B4" s="151" t="s">
        <v>310</v>
      </c>
      <c r="C4" s="152" t="s">
        <v>313</v>
      </c>
      <c r="D4" s="153" t="s">
        <v>315</v>
      </c>
      <c r="E4" s="154" t="s">
        <v>317</v>
      </c>
      <c r="F4" s="150" t="s">
        <v>327</v>
      </c>
      <c r="G4" s="153" t="s">
        <v>315</v>
      </c>
      <c r="H4" s="153" t="s">
        <v>316</v>
      </c>
      <c r="I4" s="150" t="s">
        <v>321</v>
      </c>
      <c r="J4" s="150" t="s">
        <v>324</v>
      </c>
      <c r="K4" s="154" t="s">
        <v>313</v>
      </c>
    </row>
    <row r="5" spans="1:11" ht="18.75">
      <c r="A5" s="143">
        <v>2012</v>
      </c>
      <c r="B5" s="144">
        <v>40907</v>
      </c>
      <c r="C5" s="145">
        <v>74</v>
      </c>
      <c r="D5" s="146">
        <v>8200954.5</v>
      </c>
      <c r="E5" s="162">
        <v>908539</v>
      </c>
      <c r="F5" s="745">
        <f>IF(E6&lt;&gt;0,-(E6-E5)/E6,"")</f>
        <v>0.432929627801269</v>
      </c>
      <c r="G5" s="164">
        <v>4378379</v>
      </c>
      <c r="H5" s="147">
        <v>513723</v>
      </c>
      <c r="I5" s="148">
        <v>0.57</v>
      </c>
      <c r="J5" s="149" t="s">
        <v>141</v>
      </c>
      <c r="K5" s="147">
        <v>273690</v>
      </c>
    </row>
    <row r="6" spans="1:11" ht="19.5" thickBot="1">
      <c r="A6" s="155">
        <v>2011</v>
      </c>
      <c r="B6" s="156">
        <v>40543</v>
      </c>
      <c r="C6" s="157" t="s">
        <v>307</v>
      </c>
      <c r="D6" s="158">
        <v>6313693</v>
      </c>
      <c r="E6" s="163">
        <v>634043</v>
      </c>
      <c r="F6" s="746"/>
      <c r="G6" s="165">
        <v>2910042.5</v>
      </c>
      <c r="H6" s="159">
        <v>321979</v>
      </c>
      <c r="I6" s="160">
        <v>0.51</v>
      </c>
      <c r="J6" s="161" t="s">
        <v>308</v>
      </c>
      <c r="K6" s="159">
        <v>182375</v>
      </c>
    </row>
    <row r="7" ht="19.5" thickBot="1"/>
    <row r="8" spans="1:11" ht="18.75">
      <c r="A8" s="293">
        <v>2012</v>
      </c>
      <c r="B8" s="294">
        <v>40914</v>
      </c>
      <c r="C8" s="295" t="s">
        <v>371</v>
      </c>
      <c r="D8" s="296">
        <v>8481996</v>
      </c>
      <c r="E8" s="297">
        <v>884882</v>
      </c>
      <c r="F8" s="747">
        <f>IF(E9&lt;&gt;0,-(E9-E8)/E9,"")</f>
        <v>-0.5217898361655077</v>
      </c>
      <c r="G8" s="296">
        <v>4475888.5</v>
      </c>
      <c r="H8" s="297">
        <v>500419</v>
      </c>
      <c r="I8" s="298">
        <v>0.57</v>
      </c>
      <c r="J8" s="299" t="s">
        <v>141</v>
      </c>
      <c r="K8" s="297">
        <v>198737</v>
      </c>
    </row>
    <row r="9" spans="1:11" ht="19.5" thickBot="1">
      <c r="A9" s="155">
        <v>2011</v>
      </c>
      <c r="B9" s="156">
        <v>40550</v>
      </c>
      <c r="C9" s="157" t="s">
        <v>372</v>
      </c>
      <c r="D9" s="158">
        <v>17210409</v>
      </c>
      <c r="E9" s="159">
        <v>1850404</v>
      </c>
      <c r="F9" s="748"/>
      <c r="G9" s="158">
        <v>15725804</v>
      </c>
      <c r="H9" s="159">
        <v>1715171</v>
      </c>
      <c r="I9" s="160">
        <v>0.93</v>
      </c>
      <c r="J9" s="161" t="s">
        <v>373</v>
      </c>
      <c r="K9" s="159">
        <v>1226038</v>
      </c>
    </row>
    <row r="10" ht="19.5" thickBot="1"/>
    <row r="11" spans="1:11" ht="18.75">
      <c r="A11" s="293">
        <v>2012</v>
      </c>
      <c r="B11" s="294">
        <v>40921</v>
      </c>
      <c r="C11" s="295" t="s">
        <v>407</v>
      </c>
      <c r="D11" s="296">
        <v>9952732.5</v>
      </c>
      <c r="E11" s="297">
        <v>1038272</v>
      </c>
      <c r="F11" s="747">
        <f>IF(E12&lt;&gt;0,-(E12-E11)/E12,"")</f>
        <v>-0.29546535622267506</v>
      </c>
      <c r="G11" s="296">
        <v>4132151</v>
      </c>
      <c r="H11" s="297">
        <v>469150</v>
      </c>
      <c r="I11" s="298">
        <v>0.45</v>
      </c>
      <c r="J11" s="299" t="s">
        <v>384</v>
      </c>
      <c r="K11" s="297">
        <v>209171</v>
      </c>
    </row>
    <row r="12" spans="1:11" ht="19.5" thickBot="1">
      <c r="A12" s="155">
        <v>2011</v>
      </c>
      <c r="B12" s="156">
        <v>40557</v>
      </c>
      <c r="C12" s="157" t="s">
        <v>408</v>
      </c>
      <c r="D12" s="158">
        <v>13786400.25</v>
      </c>
      <c r="E12" s="159">
        <v>1473699</v>
      </c>
      <c r="F12" s="748"/>
      <c r="G12" s="158">
        <v>11172188</v>
      </c>
      <c r="H12" s="159">
        <v>1237966</v>
      </c>
      <c r="I12" s="160">
        <v>0.84</v>
      </c>
      <c r="J12" s="161" t="s">
        <v>373</v>
      </c>
      <c r="K12" s="159">
        <v>894074</v>
      </c>
    </row>
    <row r="13" ht="19.5" thickBot="1">
      <c r="K13" s="133"/>
    </row>
    <row r="14" spans="1:11" ht="18.75">
      <c r="A14" s="293">
        <v>2012</v>
      </c>
      <c r="B14" s="294">
        <v>40928</v>
      </c>
      <c r="C14" s="295" t="s">
        <v>371</v>
      </c>
      <c r="D14" s="296">
        <v>12103565.9</v>
      </c>
      <c r="E14" s="297">
        <v>1241592</v>
      </c>
      <c r="F14" s="747">
        <f>IF(E15&lt;&gt;0,-(E15-E14)/E15,"")</f>
        <v>-0.004775760490561501</v>
      </c>
      <c r="G14" s="296">
        <v>3616319.9</v>
      </c>
      <c r="H14" s="297">
        <v>404883</v>
      </c>
      <c r="I14" s="298">
        <v>0.33</v>
      </c>
      <c r="J14" s="299" t="s">
        <v>384</v>
      </c>
      <c r="K14" s="297">
        <v>237346</v>
      </c>
    </row>
    <row r="15" spans="1:11" ht="19.5" thickBot="1">
      <c r="A15" s="155">
        <v>2011</v>
      </c>
      <c r="B15" s="156">
        <v>40564</v>
      </c>
      <c r="C15" s="157" t="s">
        <v>407</v>
      </c>
      <c r="D15" s="158">
        <v>11370167.75</v>
      </c>
      <c r="E15" s="159">
        <v>1247550</v>
      </c>
      <c r="F15" s="748"/>
      <c r="G15" s="158">
        <v>8403050.5</v>
      </c>
      <c r="H15" s="159">
        <v>969380</v>
      </c>
      <c r="I15" s="160">
        <v>0.78</v>
      </c>
      <c r="J15" s="161" t="s">
        <v>373</v>
      </c>
      <c r="K15" s="159">
        <v>605415</v>
      </c>
    </row>
    <row r="16" ht="18.75">
      <c r="K16" s="133"/>
    </row>
    <row r="17" ht="18.75">
      <c r="K17" s="133"/>
    </row>
  </sheetData>
  <sheetProtection/>
  <mergeCells count="5">
    <mergeCell ref="A1:K1"/>
    <mergeCell ref="F5:F6"/>
    <mergeCell ref="F8:F9"/>
    <mergeCell ref="F11:F12"/>
    <mergeCell ref="F14:F15"/>
  </mergeCells>
  <printOptions/>
  <pageMargins left="0.7" right="0.7" top="0.75" bottom="0.75" header="0.3" footer="0.3"/>
  <pageSetup orientation="portrait" paperSize="9"/>
  <ignoredErrors>
    <ignoredError sqref="C6 C8:C12 C14:C15" numberStoredAsText="1"/>
  </ignoredErrors>
</worksheet>
</file>

<file path=xl/worksheets/sheet7.xml><?xml version="1.0" encoding="utf-8"?>
<worksheet xmlns="http://schemas.openxmlformats.org/spreadsheetml/2006/main" xmlns:r="http://schemas.openxmlformats.org/officeDocument/2006/relationships">
  <dimension ref="A1:X68"/>
  <sheetViews>
    <sheetView zoomScalePageLayoutView="0" workbookViewId="0" topLeftCell="A40">
      <selection activeCell="T63" sqref="T63"/>
    </sheetView>
  </sheetViews>
  <sheetFormatPr defaultColWidth="9.140625" defaultRowHeight="12.75"/>
  <cols>
    <col min="1" max="1" width="3.00390625" style="177" bestFit="1" customWidth="1"/>
    <col min="2" max="2" width="4.7109375" style="177" bestFit="1" customWidth="1"/>
    <col min="3" max="3" width="31.00390625" style="190" bestFit="1" customWidth="1"/>
    <col min="4" max="4" width="8.8515625" style="179" bestFit="1" customWidth="1"/>
    <col min="5" max="9" width="4.57421875" style="0" bestFit="1" customWidth="1"/>
    <col min="10" max="11" width="5.140625" style="0" bestFit="1" customWidth="1"/>
    <col min="12" max="13" width="5.57421875" style="0" bestFit="1" customWidth="1"/>
    <col min="14" max="21" width="4.57421875" style="0" bestFit="1" customWidth="1"/>
    <col min="22" max="22" width="5.57421875" style="0" bestFit="1" customWidth="1"/>
    <col min="23" max="24" width="7.00390625" style="0" bestFit="1" customWidth="1"/>
    <col min="25" max="48" width="9.140625" style="213" customWidth="1"/>
  </cols>
  <sheetData>
    <row r="1" spans="1:24" ht="15.75">
      <c r="A1" s="192"/>
      <c r="B1" s="192"/>
      <c r="C1" s="193"/>
      <c r="D1" s="749" t="s">
        <v>334</v>
      </c>
      <c r="E1" s="750"/>
      <c r="F1" s="750"/>
      <c r="G1" s="750"/>
      <c r="H1" s="750"/>
      <c r="I1" s="750"/>
      <c r="J1" s="750"/>
      <c r="K1" s="750"/>
      <c r="L1" s="750"/>
      <c r="M1" s="750"/>
      <c r="N1" s="750"/>
      <c r="O1" s="750"/>
      <c r="P1" s="750"/>
      <c r="Q1" s="750"/>
      <c r="R1" s="750"/>
      <c r="S1" s="750"/>
      <c r="T1" s="750"/>
      <c r="U1" s="750"/>
      <c r="V1" s="750"/>
      <c r="W1" s="750"/>
      <c r="X1" s="750"/>
    </row>
    <row r="2" spans="1:24" ht="15.75">
      <c r="A2" s="192"/>
      <c r="B2" s="192"/>
      <c r="C2" s="193"/>
      <c r="D2" s="750"/>
      <c r="E2" s="750"/>
      <c r="F2" s="750"/>
      <c r="G2" s="750"/>
      <c r="H2" s="750"/>
      <c r="I2" s="750"/>
      <c r="J2" s="750"/>
      <c r="K2" s="750"/>
      <c r="L2" s="750"/>
      <c r="M2" s="750"/>
      <c r="N2" s="750"/>
      <c r="O2" s="750"/>
      <c r="P2" s="750"/>
      <c r="Q2" s="750"/>
      <c r="R2" s="750"/>
      <c r="S2" s="750"/>
      <c r="T2" s="750"/>
      <c r="U2" s="750"/>
      <c r="V2" s="750"/>
      <c r="W2" s="750"/>
      <c r="X2" s="750"/>
    </row>
    <row r="3" spans="1:24" ht="15.75">
      <c r="A3" s="192"/>
      <c r="B3" s="192"/>
      <c r="C3" s="194"/>
      <c r="D3" s="178" t="s">
        <v>329</v>
      </c>
      <c r="E3" s="167">
        <v>1</v>
      </c>
      <c r="F3" s="167">
        <v>2</v>
      </c>
      <c r="G3" s="167">
        <v>3</v>
      </c>
      <c r="H3" s="167">
        <v>4</v>
      </c>
      <c r="I3" s="167">
        <v>5</v>
      </c>
      <c r="J3" s="167">
        <v>6</v>
      </c>
      <c r="K3" s="167">
        <v>7</v>
      </c>
      <c r="L3" s="167">
        <v>8</v>
      </c>
      <c r="M3" s="167">
        <v>9</v>
      </c>
      <c r="N3" s="167">
        <v>10</v>
      </c>
      <c r="O3" s="167">
        <v>11</v>
      </c>
      <c r="P3" s="167">
        <v>12</v>
      </c>
      <c r="Q3" s="167">
        <v>13</v>
      </c>
      <c r="R3" s="167">
        <v>14</v>
      </c>
      <c r="S3" s="167">
        <v>15</v>
      </c>
      <c r="T3" s="167">
        <v>16</v>
      </c>
      <c r="U3" s="167">
        <v>17</v>
      </c>
      <c r="V3" s="167">
        <v>18</v>
      </c>
      <c r="W3" s="168" t="s">
        <v>310</v>
      </c>
      <c r="X3" s="169"/>
    </row>
    <row r="4" spans="1:24" ht="16.5" thickBot="1">
      <c r="A4" s="195"/>
      <c r="B4" s="195"/>
      <c r="C4" s="196"/>
      <c r="D4" s="182" t="s">
        <v>331</v>
      </c>
      <c r="E4" s="197">
        <v>0.75</v>
      </c>
      <c r="F4" s="197">
        <v>0.25</v>
      </c>
      <c r="G4" s="197">
        <v>3</v>
      </c>
      <c r="H4" s="197">
        <v>2</v>
      </c>
      <c r="I4" s="197">
        <v>0.75</v>
      </c>
      <c r="J4" s="197">
        <v>-3</v>
      </c>
      <c r="K4" s="197">
        <v>-4</v>
      </c>
      <c r="L4" s="197">
        <v>20</v>
      </c>
      <c r="M4" s="197">
        <v>10</v>
      </c>
      <c r="N4" s="197">
        <v>5</v>
      </c>
      <c r="O4" s="197">
        <v>3</v>
      </c>
      <c r="P4" s="197">
        <v>5</v>
      </c>
      <c r="Q4" s="197">
        <v>7</v>
      </c>
      <c r="R4" s="197">
        <v>3</v>
      </c>
      <c r="S4" s="197">
        <v>3</v>
      </c>
      <c r="T4" s="197">
        <v>3</v>
      </c>
      <c r="U4" s="197">
        <v>8.25</v>
      </c>
      <c r="V4" s="197">
        <v>16</v>
      </c>
      <c r="W4" s="183" t="s">
        <v>330</v>
      </c>
      <c r="X4" s="184" t="s">
        <v>310</v>
      </c>
    </row>
    <row r="5" spans="1:24" ht="16.5">
      <c r="A5" s="191">
        <v>1</v>
      </c>
      <c r="B5" s="191"/>
      <c r="C5" s="198" t="s">
        <v>8</v>
      </c>
      <c r="D5" s="180">
        <v>27.25</v>
      </c>
      <c r="E5" s="171">
        <v>1.5</v>
      </c>
      <c r="F5" s="171">
        <v>0.75</v>
      </c>
      <c r="G5" s="171">
        <v>0</v>
      </c>
      <c r="H5" s="171">
        <v>2</v>
      </c>
      <c r="I5" s="171">
        <v>0</v>
      </c>
      <c r="J5" s="171">
        <v>0</v>
      </c>
      <c r="K5" s="171">
        <v>0</v>
      </c>
      <c r="L5" s="170">
        <v>0</v>
      </c>
      <c r="M5" s="170">
        <v>0</v>
      </c>
      <c r="N5" s="171">
        <v>5</v>
      </c>
      <c r="O5" s="171">
        <v>3</v>
      </c>
      <c r="P5" s="171">
        <v>5</v>
      </c>
      <c r="Q5" s="171">
        <v>7</v>
      </c>
      <c r="R5" s="171">
        <v>3</v>
      </c>
      <c r="S5" s="171">
        <v>0</v>
      </c>
      <c r="T5" s="171">
        <v>0</v>
      </c>
      <c r="U5" s="171">
        <v>0</v>
      </c>
      <c r="V5" s="171">
        <v>0</v>
      </c>
      <c r="W5" s="171">
        <v>27.25</v>
      </c>
      <c r="X5" s="172">
        <v>1</v>
      </c>
    </row>
    <row r="6" spans="1:24" ht="16.5">
      <c r="A6" s="177">
        <v>2</v>
      </c>
      <c r="C6" s="199" t="s">
        <v>333</v>
      </c>
      <c r="D6" s="180">
        <v>13.5</v>
      </c>
      <c r="E6" s="171">
        <v>5.25</v>
      </c>
      <c r="F6" s="171">
        <v>3.5</v>
      </c>
      <c r="G6" s="171">
        <v>0</v>
      </c>
      <c r="H6" s="171">
        <v>4</v>
      </c>
      <c r="I6" s="173">
        <v>0.75</v>
      </c>
      <c r="J6" s="171">
        <v>0</v>
      </c>
      <c r="K6" s="171">
        <v>0</v>
      </c>
      <c r="L6" s="170">
        <v>0</v>
      </c>
      <c r="M6" s="170">
        <v>0</v>
      </c>
      <c r="N6" s="173">
        <v>0</v>
      </c>
      <c r="O6" s="173">
        <v>0</v>
      </c>
      <c r="P6" s="173">
        <v>0</v>
      </c>
      <c r="Q6" s="173">
        <v>0</v>
      </c>
      <c r="R6" s="173">
        <v>0</v>
      </c>
      <c r="S6" s="173">
        <v>0</v>
      </c>
      <c r="T6" s="173">
        <v>0</v>
      </c>
      <c r="U6" s="173">
        <v>0</v>
      </c>
      <c r="V6" s="173">
        <v>0</v>
      </c>
      <c r="W6" s="171">
        <v>13.5</v>
      </c>
      <c r="X6" s="172">
        <v>1</v>
      </c>
    </row>
    <row r="7" spans="1:24" ht="16.5">
      <c r="A7" s="191">
        <v>3</v>
      </c>
      <c r="B7" s="191"/>
      <c r="C7" s="200" t="s">
        <v>10</v>
      </c>
      <c r="D7" s="180">
        <v>6.75</v>
      </c>
      <c r="E7" s="170">
        <v>0.75</v>
      </c>
      <c r="F7" s="170">
        <v>1</v>
      </c>
      <c r="G7" s="170">
        <v>0</v>
      </c>
      <c r="H7" s="170">
        <v>2</v>
      </c>
      <c r="I7" s="170">
        <v>0</v>
      </c>
      <c r="J7" s="170">
        <v>0</v>
      </c>
      <c r="K7" s="170">
        <v>0</v>
      </c>
      <c r="L7" s="170">
        <v>0</v>
      </c>
      <c r="M7" s="170">
        <v>0</v>
      </c>
      <c r="N7" s="170">
        <v>0</v>
      </c>
      <c r="O7" s="170">
        <v>0</v>
      </c>
      <c r="P7" s="170">
        <v>0</v>
      </c>
      <c r="Q7" s="170">
        <v>0</v>
      </c>
      <c r="R7" s="170">
        <v>0</v>
      </c>
      <c r="S7" s="170">
        <v>0</v>
      </c>
      <c r="T7" s="170">
        <v>3</v>
      </c>
      <c r="U7" s="170">
        <v>0</v>
      </c>
      <c r="V7" s="170">
        <v>0</v>
      </c>
      <c r="W7" s="171">
        <v>6.75</v>
      </c>
      <c r="X7" s="172">
        <v>1</v>
      </c>
    </row>
    <row r="8" spans="1:24" ht="16.5">
      <c r="A8" s="177">
        <v>4</v>
      </c>
      <c r="C8" s="199" t="s">
        <v>12</v>
      </c>
      <c r="D8" s="180">
        <v>6.25</v>
      </c>
      <c r="E8" s="171">
        <v>0.75</v>
      </c>
      <c r="F8" s="171">
        <v>2.5</v>
      </c>
      <c r="G8" s="171">
        <v>0</v>
      </c>
      <c r="H8" s="171">
        <v>0</v>
      </c>
      <c r="I8" s="171">
        <v>0</v>
      </c>
      <c r="J8" s="171">
        <v>0</v>
      </c>
      <c r="K8" s="171">
        <v>0</v>
      </c>
      <c r="L8" s="170">
        <v>0</v>
      </c>
      <c r="M8" s="170">
        <v>0</v>
      </c>
      <c r="N8" s="171">
        <v>0</v>
      </c>
      <c r="O8" s="171">
        <v>0</v>
      </c>
      <c r="P8" s="171">
        <v>0</v>
      </c>
      <c r="Q8" s="171">
        <v>0</v>
      </c>
      <c r="R8" s="171">
        <v>0</v>
      </c>
      <c r="S8" s="171">
        <v>3</v>
      </c>
      <c r="T8" s="171">
        <v>0</v>
      </c>
      <c r="U8" s="171">
        <v>0</v>
      </c>
      <c r="V8" s="171">
        <v>0</v>
      </c>
      <c r="W8" s="171">
        <v>6.25</v>
      </c>
      <c r="X8" s="172">
        <v>1</v>
      </c>
    </row>
    <row r="9" spans="1:24" ht="16.5">
      <c r="A9" s="191">
        <v>5</v>
      </c>
      <c r="B9" s="191"/>
      <c r="C9" s="198" t="s">
        <v>53</v>
      </c>
      <c r="D9" s="180">
        <v>3.5</v>
      </c>
      <c r="E9" s="171">
        <v>3</v>
      </c>
      <c r="F9" s="171">
        <v>0.5</v>
      </c>
      <c r="G9" s="171">
        <v>0</v>
      </c>
      <c r="H9" s="171">
        <v>0</v>
      </c>
      <c r="I9" s="171">
        <v>0</v>
      </c>
      <c r="J9" s="171">
        <v>0</v>
      </c>
      <c r="K9" s="171">
        <v>0</v>
      </c>
      <c r="L9" s="170">
        <v>0</v>
      </c>
      <c r="M9" s="170">
        <v>0</v>
      </c>
      <c r="N9" s="171">
        <v>0</v>
      </c>
      <c r="O9" s="171">
        <v>0</v>
      </c>
      <c r="P9" s="171">
        <v>0</v>
      </c>
      <c r="Q9" s="171">
        <v>0</v>
      </c>
      <c r="R9" s="171">
        <v>0</v>
      </c>
      <c r="S9" s="171">
        <v>0</v>
      </c>
      <c r="T9" s="171">
        <v>0</v>
      </c>
      <c r="U9" s="171">
        <v>0</v>
      </c>
      <c r="V9" s="171">
        <v>0</v>
      </c>
      <c r="W9" s="171">
        <v>3.5</v>
      </c>
      <c r="X9" s="172">
        <v>1</v>
      </c>
    </row>
    <row r="10" spans="1:24" ht="16.5">
      <c r="A10" s="192">
        <v>6</v>
      </c>
      <c r="B10" s="192"/>
      <c r="C10" s="199" t="s">
        <v>52</v>
      </c>
      <c r="D10" s="180">
        <v>2.25</v>
      </c>
      <c r="E10" s="171">
        <v>1.5</v>
      </c>
      <c r="F10" s="171">
        <v>0.75</v>
      </c>
      <c r="G10" s="171">
        <v>0</v>
      </c>
      <c r="H10" s="171">
        <v>0</v>
      </c>
      <c r="I10" s="171">
        <v>0</v>
      </c>
      <c r="J10" s="171">
        <v>0</v>
      </c>
      <c r="K10" s="171">
        <v>0</v>
      </c>
      <c r="L10" s="170">
        <v>0</v>
      </c>
      <c r="M10" s="170">
        <v>0</v>
      </c>
      <c r="N10" s="171">
        <v>0</v>
      </c>
      <c r="O10" s="171">
        <v>0</v>
      </c>
      <c r="P10" s="171">
        <v>0</v>
      </c>
      <c r="Q10" s="171">
        <v>0</v>
      </c>
      <c r="R10" s="171">
        <v>0</v>
      </c>
      <c r="S10" s="171">
        <v>0</v>
      </c>
      <c r="T10" s="171">
        <v>0</v>
      </c>
      <c r="U10" s="171">
        <v>0</v>
      </c>
      <c r="V10" s="171">
        <v>0</v>
      </c>
      <c r="W10" s="171">
        <v>2.25</v>
      </c>
      <c r="X10" s="172">
        <v>1</v>
      </c>
    </row>
    <row r="11" spans="1:24" ht="16.5">
      <c r="A11" s="191">
        <v>7</v>
      </c>
      <c r="B11" s="191"/>
      <c r="C11" s="198" t="s">
        <v>121</v>
      </c>
      <c r="D11" s="180">
        <v>0.75</v>
      </c>
      <c r="E11" s="171">
        <v>0.75</v>
      </c>
      <c r="F11" s="171">
        <v>0</v>
      </c>
      <c r="G11" s="171">
        <v>0</v>
      </c>
      <c r="H11" s="171">
        <v>0</v>
      </c>
      <c r="I11" s="171">
        <v>0</v>
      </c>
      <c r="J11" s="171">
        <v>0</v>
      </c>
      <c r="K11" s="171">
        <v>0</v>
      </c>
      <c r="L11" s="170">
        <v>0</v>
      </c>
      <c r="M11" s="170">
        <v>0</v>
      </c>
      <c r="N11" s="171">
        <v>0</v>
      </c>
      <c r="O11" s="171">
        <v>0</v>
      </c>
      <c r="P11" s="171">
        <v>0</v>
      </c>
      <c r="Q11" s="171">
        <v>0</v>
      </c>
      <c r="R11" s="171">
        <v>0</v>
      </c>
      <c r="S11" s="171">
        <v>0</v>
      </c>
      <c r="T11" s="171">
        <v>0</v>
      </c>
      <c r="U11" s="171">
        <v>0</v>
      </c>
      <c r="V11" s="171">
        <v>0</v>
      </c>
      <c r="W11" s="171">
        <v>0.75</v>
      </c>
      <c r="X11" s="172">
        <v>1</v>
      </c>
    </row>
    <row r="12" spans="1:24" ht="17.25" thickBot="1">
      <c r="A12" s="195">
        <v>8</v>
      </c>
      <c r="B12" s="195"/>
      <c r="C12" s="201" t="s">
        <v>332</v>
      </c>
      <c r="D12" s="186">
        <v>-1</v>
      </c>
      <c r="E12" s="187">
        <v>0</v>
      </c>
      <c r="F12" s="187">
        <v>1</v>
      </c>
      <c r="G12" s="187">
        <v>0</v>
      </c>
      <c r="H12" s="187">
        <v>4</v>
      </c>
      <c r="I12" s="187">
        <v>0</v>
      </c>
      <c r="J12" s="187">
        <v>-6</v>
      </c>
      <c r="K12" s="187">
        <v>0</v>
      </c>
      <c r="L12" s="189">
        <v>0</v>
      </c>
      <c r="M12" s="189">
        <v>0</v>
      </c>
      <c r="N12" s="187">
        <v>0</v>
      </c>
      <c r="O12" s="187">
        <v>0</v>
      </c>
      <c r="P12" s="187">
        <v>0</v>
      </c>
      <c r="Q12" s="187">
        <v>0</v>
      </c>
      <c r="R12" s="187">
        <v>0</v>
      </c>
      <c r="S12" s="187">
        <v>0</v>
      </c>
      <c r="T12" s="187">
        <v>0</v>
      </c>
      <c r="U12" s="187">
        <v>0</v>
      </c>
      <c r="V12" s="187">
        <v>0</v>
      </c>
      <c r="W12" s="187">
        <v>-1</v>
      </c>
      <c r="X12" s="188">
        <v>1</v>
      </c>
    </row>
    <row r="13" spans="1:24" ht="15.75">
      <c r="A13" s="192"/>
      <c r="B13" s="192"/>
      <c r="C13" s="194"/>
      <c r="D13" s="181"/>
      <c r="E13" s="174"/>
      <c r="F13" s="174"/>
      <c r="G13" s="174"/>
      <c r="H13" s="175"/>
      <c r="I13" s="175"/>
      <c r="J13" s="174"/>
      <c r="K13" s="174"/>
      <c r="L13" s="174"/>
      <c r="M13" s="174"/>
      <c r="N13" s="174"/>
      <c r="O13" s="174"/>
      <c r="P13" s="174"/>
      <c r="Q13" s="174"/>
      <c r="R13" s="174"/>
      <c r="S13" s="174"/>
      <c r="T13" s="174"/>
      <c r="U13" s="174"/>
      <c r="V13" s="174"/>
      <c r="W13" s="176"/>
      <c r="X13" s="166"/>
    </row>
    <row r="14" spans="1:24" ht="15.75">
      <c r="A14" s="192"/>
      <c r="B14" s="192"/>
      <c r="C14" s="194"/>
      <c r="D14" s="749" t="s">
        <v>369</v>
      </c>
      <c r="E14" s="750"/>
      <c r="F14" s="750"/>
      <c r="G14" s="750"/>
      <c r="H14" s="750"/>
      <c r="I14" s="750"/>
      <c r="J14" s="750"/>
      <c r="K14" s="750"/>
      <c r="L14" s="750"/>
      <c r="M14" s="750"/>
      <c r="N14" s="750"/>
      <c r="O14" s="750"/>
      <c r="P14" s="750"/>
      <c r="Q14" s="750"/>
      <c r="R14" s="750"/>
      <c r="S14" s="750"/>
      <c r="T14" s="750"/>
      <c r="U14" s="750"/>
      <c r="V14" s="750"/>
      <c r="W14" s="750"/>
      <c r="X14" s="750"/>
    </row>
    <row r="15" spans="1:24" ht="15.75">
      <c r="A15" s="192"/>
      <c r="B15" s="192"/>
      <c r="C15" s="194"/>
      <c r="D15" s="750"/>
      <c r="E15" s="750"/>
      <c r="F15" s="750"/>
      <c r="G15" s="750"/>
      <c r="H15" s="750"/>
      <c r="I15" s="750"/>
      <c r="J15" s="750"/>
      <c r="K15" s="750"/>
      <c r="L15" s="750"/>
      <c r="M15" s="750"/>
      <c r="N15" s="750"/>
      <c r="O15" s="750"/>
      <c r="P15" s="750"/>
      <c r="Q15" s="750"/>
      <c r="R15" s="750"/>
      <c r="S15" s="750"/>
      <c r="T15" s="750"/>
      <c r="U15" s="750"/>
      <c r="V15" s="750"/>
      <c r="W15" s="750"/>
      <c r="X15" s="750"/>
    </row>
    <row r="16" spans="1:24" ht="15.75">
      <c r="A16" s="192"/>
      <c r="B16" s="192"/>
      <c r="C16" s="194"/>
      <c r="D16" s="178" t="s">
        <v>329</v>
      </c>
      <c r="E16" s="167">
        <v>1</v>
      </c>
      <c r="F16" s="167">
        <v>2</v>
      </c>
      <c r="G16" s="167">
        <v>3</v>
      </c>
      <c r="H16" s="167">
        <v>4</v>
      </c>
      <c r="I16" s="167">
        <v>5</v>
      </c>
      <c r="J16" s="167">
        <v>6</v>
      </c>
      <c r="K16" s="167">
        <v>7</v>
      </c>
      <c r="L16" s="167">
        <v>8</v>
      </c>
      <c r="M16" s="167">
        <v>9</v>
      </c>
      <c r="N16" s="167">
        <v>10</v>
      </c>
      <c r="O16" s="167">
        <v>11</v>
      </c>
      <c r="P16" s="167">
        <v>12</v>
      </c>
      <c r="Q16" s="167">
        <v>13</v>
      </c>
      <c r="R16" s="167">
        <v>14</v>
      </c>
      <c r="S16" s="167">
        <v>15</v>
      </c>
      <c r="T16" s="167">
        <v>16</v>
      </c>
      <c r="U16" s="167">
        <v>17</v>
      </c>
      <c r="V16" s="167">
        <v>18</v>
      </c>
      <c r="W16" s="168" t="s">
        <v>310</v>
      </c>
      <c r="X16" s="169"/>
    </row>
    <row r="17" spans="1:24" ht="16.5" thickBot="1">
      <c r="A17" s="195"/>
      <c r="B17" s="195"/>
      <c r="C17" s="196"/>
      <c r="D17" s="182" t="s">
        <v>331</v>
      </c>
      <c r="E17" s="197">
        <v>0.75</v>
      </c>
      <c r="F17" s="197">
        <v>0.25</v>
      </c>
      <c r="G17" s="197">
        <v>3</v>
      </c>
      <c r="H17" s="197">
        <v>2</v>
      </c>
      <c r="I17" s="197">
        <v>0.75</v>
      </c>
      <c r="J17" s="197">
        <v>-3</v>
      </c>
      <c r="K17" s="197">
        <v>-4</v>
      </c>
      <c r="L17" s="197">
        <v>20</v>
      </c>
      <c r="M17" s="197">
        <v>10</v>
      </c>
      <c r="N17" s="197">
        <v>5</v>
      </c>
      <c r="O17" s="197">
        <v>3</v>
      </c>
      <c r="P17" s="197">
        <v>5</v>
      </c>
      <c r="Q17" s="197">
        <v>7</v>
      </c>
      <c r="R17" s="197">
        <v>3</v>
      </c>
      <c r="S17" s="197">
        <v>3</v>
      </c>
      <c r="T17" s="197">
        <v>3</v>
      </c>
      <c r="U17" s="197">
        <v>8.25</v>
      </c>
      <c r="V17" s="197">
        <v>16</v>
      </c>
      <c r="W17" s="183" t="s">
        <v>330</v>
      </c>
      <c r="X17" s="184" t="s">
        <v>310</v>
      </c>
    </row>
    <row r="18" spans="1:24" ht="19.5">
      <c r="A18" s="191">
        <v>1</v>
      </c>
      <c r="B18" s="206">
        <v>4</v>
      </c>
      <c r="C18" s="202" t="s">
        <v>8</v>
      </c>
      <c r="D18" s="180">
        <f>W5+W18</f>
        <v>39.5</v>
      </c>
      <c r="E18" s="171">
        <v>1.5</v>
      </c>
      <c r="F18" s="171">
        <v>0.75</v>
      </c>
      <c r="G18" s="171">
        <v>0</v>
      </c>
      <c r="H18" s="171">
        <v>2</v>
      </c>
      <c r="I18" s="171">
        <v>0</v>
      </c>
      <c r="J18" s="171">
        <v>0</v>
      </c>
      <c r="K18" s="171">
        <v>0</v>
      </c>
      <c r="L18" s="171">
        <v>0</v>
      </c>
      <c r="M18" s="171">
        <v>0</v>
      </c>
      <c r="N18" s="171">
        <v>0</v>
      </c>
      <c r="O18" s="171">
        <v>0</v>
      </c>
      <c r="P18" s="171">
        <v>5</v>
      </c>
      <c r="Q18" s="171">
        <v>0</v>
      </c>
      <c r="R18" s="171">
        <v>3</v>
      </c>
      <c r="S18" s="171">
        <v>0</v>
      </c>
      <c r="T18" s="171">
        <v>0</v>
      </c>
      <c r="U18" s="171">
        <v>0</v>
      </c>
      <c r="V18" s="171">
        <v>0</v>
      </c>
      <c r="W18" s="171">
        <f>SUM(E18:V18)</f>
        <v>12.25</v>
      </c>
      <c r="X18" s="172">
        <v>2</v>
      </c>
    </row>
    <row r="19" spans="1:24" ht="19.5">
      <c r="A19" s="177">
        <v>2</v>
      </c>
      <c r="B19" s="207">
        <v>4</v>
      </c>
      <c r="C19" s="203" t="s">
        <v>333</v>
      </c>
      <c r="D19" s="180">
        <f aca="true" t="shared" si="0" ref="D19:D25">W6+W19</f>
        <v>36.5</v>
      </c>
      <c r="E19" s="171">
        <v>6.75</v>
      </c>
      <c r="F19" s="171">
        <v>4.5</v>
      </c>
      <c r="G19" s="171">
        <v>0</v>
      </c>
      <c r="H19" s="171">
        <v>4</v>
      </c>
      <c r="I19" s="171">
        <v>0.75</v>
      </c>
      <c r="J19" s="171">
        <v>0</v>
      </c>
      <c r="K19" s="171">
        <v>0</v>
      </c>
      <c r="L19" s="171">
        <v>0</v>
      </c>
      <c r="M19" s="171">
        <v>0</v>
      </c>
      <c r="N19" s="171">
        <v>0</v>
      </c>
      <c r="O19" s="171">
        <v>0</v>
      </c>
      <c r="P19" s="171">
        <v>0</v>
      </c>
      <c r="Q19" s="171">
        <v>7</v>
      </c>
      <c r="R19" s="171">
        <v>0</v>
      </c>
      <c r="S19" s="171">
        <v>0</v>
      </c>
      <c r="T19" s="171">
        <v>0</v>
      </c>
      <c r="U19" s="171">
        <v>0</v>
      </c>
      <c r="V19" s="171">
        <v>0</v>
      </c>
      <c r="W19" s="171">
        <f aca="true" t="shared" si="1" ref="W19:W25">SUM(E19:V19)</f>
        <v>23</v>
      </c>
      <c r="X19" s="172">
        <v>2</v>
      </c>
    </row>
    <row r="20" spans="1:24" ht="19.5">
      <c r="A20" s="191">
        <v>3</v>
      </c>
      <c r="B20" s="208">
        <v>5</v>
      </c>
      <c r="C20" s="202" t="s">
        <v>12</v>
      </c>
      <c r="D20" s="180">
        <f t="shared" si="0"/>
        <v>22.75</v>
      </c>
      <c r="E20" s="171">
        <v>1.5</v>
      </c>
      <c r="F20" s="171">
        <v>2.5</v>
      </c>
      <c r="G20" s="171">
        <v>3</v>
      </c>
      <c r="H20" s="171">
        <v>0</v>
      </c>
      <c r="I20" s="171">
        <v>0</v>
      </c>
      <c r="J20" s="171">
        <v>0</v>
      </c>
      <c r="K20" s="171">
        <v>0</v>
      </c>
      <c r="L20" s="171">
        <v>0</v>
      </c>
      <c r="M20" s="171">
        <v>0</v>
      </c>
      <c r="N20" s="171">
        <v>0</v>
      </c>
      <c r="O20" s="171">
        <v>3</v>
      </c>
      <c r="P20" s="171">
        <v>0</v>
      </c>
      <c r="Q20" s="171">
        <v>0</v>
      </c>
      <c r="R20" s="171">
        <v>0</v>
      </c>
      <c r="S20" s="171">
        <v>3</v>
      </c>
      <c r="T20" s="171">
        <v>3</v>
      </c>
      <c r="U20" s="171">
        <v>0</v>
      </c>
      <c r="V20" s="171">
        <v>0</v>
      </c>
      <c r="W20" s="171">
        <f t="shared" si="1"/>
        <v>16</v>
      </c>
      <c r="X20" s="172">
        <v>2</v>
      </c>
    </row>
    <row r="21" spans="1:24" ht="19.5">
      <c r="A21" s="177">
        <v>4</v>
      </c>
      <c r="B21" s="209">
        <v>5</v>
      </c>
      <c r="C21" s="203" t="s">
        <v>53</v>
      </c>
      <c r="D21" s="180">
        <f t="shared" si="0"/>
        <v>13.25</v>
      </c>
      <c r="E21" s="171">
        <v>3.75</v>
      </c>
      <c r="F21" s="171">
        <v>0.25</v>
      </c>
      <c r="G21" s="171">
        <v>3</v>
      </c>
      <c r="H21" s="171">
        <v>0</v>
      </c>
      <c r="I21" s="171">
        <v>0</v>
      </c>
      <c r="J21" s="171">
        <v>0</v>
      </c>
      <c r="K21" s="171">
        <v>0</v>
      </c>
      <c r="L21" s="171">
        <v>0</v>
      </c>
      <c r="M21" s="171">
        <v>0</v>
      </c>
      <c r="N21" s="171">
        <v>0</v>
      </c>
      <c r="O21" s="171">
        <v>0</v>
      </c>
      <c r="P21" s="171">
        <v>0</v>
      </c>
      <c r="Q21" s="171">
        <v>0</v>
      </c>
      <c r="R21" s="171">
        <v>0</v>
      </c>
      <c r="S21" s="171">
        <v>0</v>
      </c>
      <c r="T21" s="171">
        <v>0</v>
      </c>
      <c r="U21" s="171">
        <v>0</v>
      </c>
      <c r="V21" s="171">
        <v>0</v>
      </c>
      <c r="W21" s="171">
        <f t="shared" si="1"/>
        <v>7</v>
      </c>
      <c r="X21" s="172">
        <v>2</v>
      </c>
    </row>
    <row r="22" spans="1:24" ht="19.5">
      <c r="A22" s="191">
        <v>5</v>
      </c>
      <c r="B22" s="210">
        <v>6</v>
      </c>
      <c r="C22" s="204" t="s">
        <v>10</v>
      </c>
      <c r="D22" s="180">
        <f t="shared" si="0"/>
        <v>4.5</v>
      </c>
      <c r="E22" s="278">
        <v>0</v>
      </c>
      <c r="F22" s="278">
        <v>1</v>
      </c>
      <c r="G22" s="278">
        <v>0</v>
      </c>
      <c r="H22" s="278">
        <v>0</v>
      </c>
      <c r="I22" s="278">
        <v>0</v>
      </c>
      <c r="J22" s="278">
        <v>0</v>
      </c>
      <c r="K22" s="278">
        <v>0</v>
      </c>
      <c r="L22" s="278">
        <v>0</v>
      </c>
      <c r="M22" s="278">
        <v>0</v>
      </c>
      <c r="N22" s="278">
        <v>0</v>
      </c>
      <c r="O22" s="278">
        <v>0</v>
      </c>
      <c r="P22" s="278">
        <v>0</v>
      </c>
      <c r="Q22" s="278">
        <v>0</v>
      </c>
      <c r="R22" s="278">
        <v>0</v>
      </c>
      <c r="S22" s="278">
        <v>0</v>
      </c>
      <c r="T22" s="278">
        <v>0</v>
      </c>
      <c r="U22" s="278">
        <v>0</v>
      </c>
      <c r="V22" s="278">
        <v>0</v>
      </c>
      <c r="W22" s="171">
        <f t="shared" si="1"/>
        <v>1</v>
      </c>
      <c r="X22" s="172">
        <v>2</v>
      </c>
    </row>
    <row r="23" spans="1:24" ht="19.5">
      <c r="A23" s="192">
        <v>6</v>
      </c>
      <c r="B23" s="211">
        <v>4</v>
      </c>
      <c r="C23" s="203" t="s">
        <v>52</v>
      </c>
      <c r="D23" s="180">
        <f t="shared" si="0"/>
        <v>3.25</v>
      </c>
      <c r="E23" s="171">
        <v>0.75</v>
      </c>
      <c r="F23" s="171">
        <v>0.25</v>
      </c>
      <c r="G23" s="171">
        <v>0</v>
      </c>
      <c r="H23" s="171">
        <v>0</v>
      </c>
      <c r="I23" s="171">
        <v>0</v>
      </c>
      <c r="J23" s="171">
        <v>0</v>
      </c>
      <c r="K23" s="171">
        <v>0</v>
      </c>
      <c r="L23" s="171">
        <v>0</v>
      </c>
      <c r="M23" s="171">
        <v>0</v>
      </c>
      <c r="N23" s="171">
        <v>0</v>
      </c>
      <c r="O23" s="171">
        <v>0</v>
      </c>
      <c r="P23" s="171">
        <v>0</v>
      </c>
      <c r="Q23" s="171">
        <v>0</v>
      </c>
      <c r="R23" s="171">
        <v>0</v>
      </c>
      <c r="S23" s="171">
        <v>0</v>
      </c>
      <c r="T23" s="171">
        <v>0</v>
      </c>
      <c r="U23" s="171">
        <v>0</v>
      </c>
      <c r="V23" s="171">
        <v>0</v>
      </c>
      <c r="W23" s="171">
        <f t="shared" si="1"/>
        <v>1</v>
      </c>
      <c r="X23" s="172">
        <v>2</v>
      </c>
    </row>
    <row r="24" spans="1:24" ht="19.5">
      <c r="A24" s="191">
        <v>7</v>
      </c>
      <c r="B24" s="206">
        <v>4</v>
      </c>
      <c r="C24" s="202" t="s">
        <v>121</v>
      </c>
      <c r="D24" s="180">
        <f t="shared" si="0"/>
        <v>1.5</v>
      </c>
      <c r="E24" s="171">
        <v>0.75</v>
      </c>
      <c r="F24" s="171">
        <v>0</v>
      </c>
      <c r="G24" s="171">
        <v>0</v>
      </c>
      <c r="H24" s="171">
        <v>0</v>
      </c>
      <c r="I24" s="171">
        <v>0</v>
      </c>
      <c r="J24" s="171">
        <v>0</v>
      </c>
      <c r="K24" s="171">
        <v>0</v>
      </c>
      <c r="L24" s="171">
        <v>0</v>
      </c>
      <c r="M24" s="171">
        <v>0</v>
      </c>
      <c r="N24" s="171">
        <v>0</v>
      </c>
      <c r="O24" s="171">
        <v>0</v>
      </c>
      <c r="P24" s="171">
        <v>0</v>
      </c>
      <c r="Q24" s="171">
        <v>0</v>
      </c>
      <c r="R24" s="171">
        <v>0</v>
      </c>
      <c r="S24" s="171">
        <v>0</v>
      </c>
      <c r="T24" s="171">
        <v>0</v>
      </c>
      <c r="U24" s="171">
        <v>0</v>
      </c>
      <c r="V24" s="171">
        <v>0</v>
      </c>
      <c r="W24" s="171">
        <f t="shared" si="1"/>
        <v>0.75</v>
      </c>
      <c r="X24" s="172">
        <v>2</v>
      </c>
    </row>
    <row r="25" spans="1:24" ht="20.25" thickBot="1">
      <c r="A25" s="185">
        <v>8</v>
      </c>
      <c r="B25" s="212">
        <v>6</v>
      </c>
      <c r="C25" s="205" t="s">
        <v>332</v>
      </c>
      <c r="D25" s="186">
        <f t="shared" si="0"/>
        <v>0.5</v>
      </c>
      <c r="E25" s="187">
        <v>0</v>
      </c>
      <c r="F25" s="187">
        <v>1.5</v>
      </c>
      <c r="G25" s="187">
        <v>0</v>
      </c>
      <c r="H25" s="187">
        <v>0</v>
      </c>
      <c r="I25" s="187">
        <v>0</v>
      </c>
      <c r="J25" s="187">
        <v>0</v>
      </c>
      <c r="K25" s="187">
        <v>0</v>
      </c>
      <c r="L25" s="187">
        <v>0</v>
      </c>
      <c r="M25" s="187">
        <v>0</v>
      </c>
      <c r="N25" s="187">
        <v>0</v>
      </c>
      <c r="O25" s="187">
        <v>0</v>
      </c>
      <c r="P25" s="187">
        <v>0</v>
      </c>
      <c r="Q25" s="187">
        <v>0</v>
      </c>
      <c r="R25" s="187">
        <v>0</v>
      </c>
      <c r="S25" s="187">
        <v>0</v>
      </c>
      <c r="T25" s="187">
        <v>0</v>
      </c>
      <c r="U25" s="187">
        <v>0</v>
      </c>
      <c r="V25" s="187">
        <v>0</v>
      </c>
      <c r="W25" s="187">
        <f t="shared" si="1"/>
        <v>1.5</v>
      </c>
      <c r="X25" s="188">
        <v>2</v>
      </c>
    </row>
    <row r="26" ht="15.75"/>
    <row r="27" spans="1:24" ht="15.75">
      <c r="A27" s="192"/>
      <c r="B27" s="192"/>
      <c r="C27" s="194"/>
      <c r="D27" s="749" t="s">
        <v>406</v>
      </c>
      <c r="E27" s="750"/>
      <c r="F27" s="750"/>
      <c r="G27" s="750"/>
      <c r="H27" s="750"/>
      <c r="I27" s="750"/>
      <c r="J27" s="750"/>
      <c r="K27" s="750"/>
      <c r="L27" s="750"/>
      <c r="M27" s="750"/>
      <c r="N27" s="750"/>
      <c r="O27" s="750"/>
      <c r="P27" s="750"/>
      <c r="Q27" s="750"/>
      <c r="R27" s="750"/>
      <c r="S27" s="750"/>
      <c r="T27" s="750"/>
      <c r="U27" s="750"/>
      <c r="V27" s="750"/>
      <c r="W27" s="750"/>
      <c r="X27" s="750"/>
    </row>
    <row r="28" spans="1:24" ht="15.75">
      <c r="A28" s="192"/>
      <c r="B28" s="192"/>
      <c r="C28" s="194"/>
      <c r="D28" s="750"/>
      <c r="E28" s="750"/>
      <c r="F28" s="750"/>
      <c r="G28" s="750"/>
      <c r="H28" s="750"/>
      <c r="I28" s="750"/>
      <c r="J28" s="750"/>
      <c r="K28" s="750"/>
      <c r="L28" s="750"/>
      <c r="M28" s="750"/>
      <c r="N28" s="750"/>
      <c r="O28" s="750"/>
      <c r="P28" s="750"/>
      <c r="Q28" s="750"/>
      <c r="R28" s="750"/>
      <c r="S28" s="750"/>
      <c r="T28" s="750"/>
      <c r="U28" s="750"/>
      <c r="V28" s="750"/>
      <c r="W28" s="750"/>
      <c r="X28" s="750"/>
    </row>
    <row r="29" spans="1:24" ht="15.75">
      <c r="A29" s="192"/>
      <c r="B29" s="192"/>
      <c r="C29" s="194"/>
      <c r="D29" s="178" t="s">
        <v>329</v>
      </c>
      <c r="E29" s="167">
        <v>1</v>
      </c>
      <c r="F29" s="167">
        <v>2</v>
      </c>
      <c r="G29" s="167">
        <v>3</v>
      </c>
      <c r="H29" s="167">
        <v>4</v>
      </c>
      <c r="I29" s="167">
        <v>5</v>
      </c>
      <c r="J29" s="167">
        <v>6</v>
      </c>
      <c r="K29" s="167">
        <v>7</v>
      </c>
      <c r="L29" s="167">
        <v>8</v>
      </c>
      <c r="M29" s="167">
        <v>9</v>
      </c>
      <c r="N29" s="167">
        <v>10</v>
      </c>
      <c r="O29" s="167">
        <v>11</v>
      </c>
      <c r="P29" s="167">
        <v>12</v>
      </c>
      <c r="Q29" s="167">
        <v>13</v>
      </c>
      <c r="R29" s="167">
        <v>14</v>
      </c>
      <c r="S29" s="167">
        <v>15</v>
      </c>
      <c r="T29" s="167">
        <v>16</v>
      </c>
      <c r="U29" s="167">
        <v>17</v>
      </c>
      <c r="V29" s="167">
        <v>18</v>
      </c>
      <c r="W29" s="168" t="s">
        <v>310</v>
      </c>
      <c r="X29" s="169"/>
    </row>
    <row r="30" spans="1:24" ht="16.5" thickBot="1">
      <c r="A30" s="195"/>
      <c r="B30" s="195"/>
      <c r="C30" s="196"/>
      <c r="D30" s="182" t="s">
        <v>331</v>
      </c>
      <c r="E30" s="197">
        <v>0.75</v>
      </c>
      <c r="F30" s="197">
        <v>0.25</v>
      </c>
      <c r="G30" s="197">
        <v>3</v>
      </c>
      <c r="H30" s="197">
        <v>2</v>
      </c>
      <c r="I30" s="197">
        <v>0.75</v>
      </c>
      <c r="J30" s="197">
        <v>-3</v>
      </c>
      <c r="K30" s="197">
        <v>-4</v>
      </c>
      <c r="L30" s="197">
        <v>20</v>
      </c>
      <c r="M30" s="197">
        <v>10</v>
      </c>
      <c r="N30" s="197">
        <v>5</v>
      </c>
      <c r="O30" s="197">
        <v>3</v>
      </c>
      <c r="P30" s="197">
        <v>5</v>
      </c>
      <c r="Q30" s="197">
        <v>7</v>
      </c>
      <c r="R30" s="197">
        <v>3</v>
      </c>
      <c r="S30" s="197">
        <v>3</v>
      </c>
      <c r="T30" s="197">
        <v>3</v>
      </c>
      <c r="U30" s="197">
        <v>8.25</v>
      </c>
      <c r="V30" s="197">
        <v>16</v>
      </c>
      <c r="W30" s="183" t="s">
        <v>330</v>
      </c>
      <c r="X30" s="184" t="s">
        <v>310</v>
      </c>
    </row>
    <row r="31" spans="1:24" ht="19.5">
      <c r="A31" s="191">
        <v>1</v>
      </c>
      <c r="B31" s="208">
        <v>5</v>
      </c>
      <c r="C31" s="198" t="s">
        <v>333</v>
      </c>
      <c r="D31" s="288">
        <v>55.25</v>
      </c>
      <c r="E31" s="171">
        <v>6.75</v>
      </c>
      <c r="F31" s="171">
        <v>4.25</v>
      </c>
      <c r="G31" s="171">
        <v>0</v>
      </c>
      <c r="H31" s="171">
        <v>0</v>
      </c>
      <c r="I31" s="171">
        <v>0.75</v>
      </c>
      <c r="J31" s="171">
        <v>0</v>
      </c>
      <c r="K31" s="171">
        <v>0</v>
      </c>
      <c r="L31" s="171">
        <v>0</v>
      </c>
      <c r="M31" s="171">
        <v>0</v>
      </c>
      <c r="N31" s="171">
        <v>0</v>
      </c>
      <c r="O31" s="171">
        <v>0</v>
      </c>
      <c r="P31" s="171">
        <v>0</v>
      </c>
      <c r="Q31" s="171">
        <v>7</v>
      </c>
      <c r="R31" s="171">
        <v>0</v>
      </c>
      <c r="S31" s="171">
        <v>0</v>
      </c>
      <c r="T31" s="171">
        <v>0</v>
      </c>
      <c r="U31" s="171">
        <v>0</v>
      </c>
      <c r="V31" s="171">
        <v>0</v>
      </c>
      <c r="W31" s="171">
        <f>SUM(E31:V31)</f>
        <v>18.75</v>
      </c>
      <c r="X31" s="172">
        <v>3</v>
      </c>
    </row>
    <row r="32" spans="1:24" ht="19.5">
      <c r="A32" s="177">
        <v>2</v>
      </c>
      <c r="B32" s="281">
        <v>6</v>
      </c>
      <c r="C32" s="203" t="s">
        <v>8</v>
      </c>
      <c r="D32" s="288">
        <v>50</v>
      </c>
      <c r="E32" s="171">
        <v>1.5</v>
      </c>
      <c r="F32" s="171">
        <v>1</v>
      </c>
      <c r="G32" s="171">
        <v>0</v>
      </c>
      <c r="H32" s="171">
        <v>0</v>
      </c>
      <c r="I32" s="171">
        <v>0</v>
      </c>
      <c r="J32" s="171">
        <v>0</v>
      </c>
      <c r="K32" s="171">
        <v>0</v>
      </c>
      <c r="L32" s="171">
        <v>0</v>
      </c>
      <c r="M32" s="171">
        <v>0</v>
      </c>
      <c r="N32" s="171">
        <v>0</v>
      </c>
      <c r="O32" s="171">
        <v>0</v>
      </c>
      <c r="P32" s="171">
        <v>5</v>
      </c>
      <c r="Q32" s="171">
        <v>0</v>
      </c>
      <c r="R32" s="171">
        <v>0</v>
      </c>
      <c r="S32" s="171">
        <v>0</v>
      </c>
      <c r="T32" s="171">
        <v>3</v>
      </c>
      <c r="U32" s="171">
        <v>0</v>
      </c>
      <c r="V32" s="171">
        <v>0</v>
      </c>
      <c r="W32" s="171">
        <f aca="true" t="shared" si="2" ref="W32:W39">SUM(E32:V32)</f>
        <v>10.5</v>
      </c>
      <c r="X32" s="172">
        <v>3</v>
      </c>
    </row>
    <row r="33" spans="1:24" ht="19.5">
      <c r="A33" s="191">
        <v>3</v>
      </c>
      <c r="B33" s="206">
        <v>4</v>
      </c>
      <c r="C33" s="202" t="s">
        <v>12</v>
      </c>
      <c r="D33" s="288">
        <v>36.75</v>
      </c>
      <c r="E33" s="171">
        <v>1.5</v>
      </c>
      <c r="F33" s="171">
        <v>2</v>
      </c>
      <c r="G33" s="171">
        <v>0</v>
      </c>
      <c r="H33" s="171">
        <v>2</v>
      </c>
      <c r="I33" s="171">
        <v>0</v>
      </c>
      <c r="J33" s="171">
        <v>0</v>
      </c>
      <c r="K33" s="171">
        <v>0</v>
      </c>
      <c r="L33" s="171">
        <v>0</v>
      </c>
      <c r="M33" s="171">
        <v>0</v>
      </c>
      <c r="N33" s="171">
        <v>0</v>
      </c>
      <c r="O33" s="171">
        <v>3</v>
      </c>
      <c r="P33" s="171">
        <v>0</v>
      </c>
      <c r="Q33" s="171">
        <v>0</v>
      </c>
      <c r="R33" s="171">
        <v>3</v>
      </c>
      <c r="S33" s="171">
        <v>3</v>
      </c>
      <c r="T33" s="171">
        <v>0</v>
      </c>
      <c r="U33" s="171">
        <v>0</v>
      </c>
      <c r="V33" s="171">
        <v>0</v>
      </c>
      <c r="W33" s="171">
        <f t="shared" si="2"/>
        <v>14.5</v>
      </c>
      <c r="X33" s="172">
        <v>3</v>
      </c>
    </row>
    <row r="34" spans="1:24" ht="19.5">
      <c r="A34" s="177">
        <v>4</v>
      </c>
      <c r="B34" s="211">
        <v>4</v>
      </c>
      <c r="C34" s="203" t="s">
        <v>53</v>
      </c>
      <c r="D34" s="288">
        <v>13.75</v>
      </c>
      <c r="E34" s="171">
        <v>3</v>
      </c>
      <c r="F34" s="171">
        <v>0.25</v>
      </c>
      <c r="G34" s="171">
        <v>0</v>
      </c>
      <c r="H34" s="171">
        <v>0</v>
      </c>
      <c r="I34" s="171">
        <v>0</v>
      </c>
      <c r="J34" s="171">
        <v>0</v>
      </c>
      <c r="K34" s="171">
        <v>0</v>
      </c>
      <c r="L34" s="171">
        <v>0</v>
      </c>
      <c r="M34" s="171">
        <v>0</v>
      </c>
      <c r="N34" s="171">
        <v>0</v>
      </c>
      <c r="O34" s="171">
        <v>0</v>
      </c>
      <c r="P34" s="171">
        <v>0</v>
      </c>
      <c r="Q34" s="171">
        <v>0</v>
      </c>
      <c r="R34" s="171">
        <v>0</v>
      </c>
      <c r="S34" s="171">
        <v>0</v>
      </c>
      <c r="T34" s="171">
        <v>0</v>
      </c>
      <c r="U34" s="171">
        <v>0</v>
      </c>
      <c r="V34" s="171">
        <v>0</v>
      </c>
      <c r="W34" s="171">
        <f t="shared" si="2"/>
        <v>3.25</v>
      </c>
      <c r="X34" s="172">
        <v>3</v>
      </c>
    </row>
    <row r="35" spans="1:24" ht="19.5">
      <c r="A35" s="191">
        <v>5</v>
      </c>
      <c r="B35" s="206">
        <v>4</v>
      </c>
      <c r="C35" s="204" t="s">
        <v>10</v>
      </c>
      <c r="D35" s="288">
        <v>11.5</v>
      </c>
      <c r="E35" s="278">
        <v>0.75</v>
      </c>
      <c r="F35" s="278">
        <v>1</v>
      </c>
      <c r="G35" s="278">
        <v>0</v>
      </c>
      <c r="H35" s="278">
        <v>2</v>
      </c>
      <c r="I35" s="278">
        <v>0</v>
      </c>
      <c r="J35" s="278">
        <v>0</v>
      </c>
      <c r="K35" s="278">
        <v>0</v>
      </c>
      <c r="L35" s="278">
        <v>0</v>
      </c>
      <c r="M35" s="278">
        <v>0</v>
      </c>
      <c r="N35" s="278">
        <v>0</v>
      </c>
      <c r="O35" s="278">
        <v>0</v>
      </c>
      <c r="P35" s="278">
        <v>0</v>
      </c>
      <c r="Q35" s="278">
        <v>0</v>
      </c>
      <c r="R35" s="278">
        <v>0</v>
      </c>
      <c r="S35" s="278">
        <v>0</v>
      </c>
      <c r="T35" s="278">
        <v>0</v>
      </c>
      <c r="U35" s="278">
        <v>0</v>
      </c>
      <c r="V35" s="278">
        <v>0</v>
      </c>
      <c r="W35" s="171">
        <f t="shared" si="2"/>
        <v>3.75</v>
      </c>
      <c r="X35" s="172">
        <v>3</v>
      </c>
    </row>
    <row r="36" spans="1:24" ht="19.5">
      <c r="A36" s="192">
        <v>6</v>
      </c>
      <c r="B36" s="211">
        <v>4</v>
      </c>
      <c r="C36" s="203" t="s">
        <v>52</v>
      </c>
      <c r="D36" s="288">
        <v>8</v>
      </c>
      <c r="E36" s="171">
        <v>1.5</v>
      </c>
      <c r="F36" s="171">
        <v>0.25</v>
      </c>
      <c r="G36" s="171">
        <v>3</v>
      </c>
      <c r="H36" s="171">
        <v>0</v>
      </c>
      <c r="I36" s="171">
        <v>0</v>
      </c>
      <c r="J36" s="171">
        <v>0</v>
      </c>
      <c r="K36" s="171">
        <v>0</v>
      </c>
      <c r="L36" s="171">
        <v>0</v>
      </c>
      <c r="M36" s="171">
        <v>0</v>
      </c>
      <c r="N36" s="171">
        <v>0</v>
      </c>
      <c r="O36" s="171">
        <v>0</v>
      </c>
      <c r="P36" s="171">
        <v>0</v>
      </c>
      <c r="Q36" s="171">
        <v>0</v>
      </c>
      <c r="R36" s="171">
        <v>0</v>
      </c>
      <c r="S36" s="171">
        <v>0</v>
      </c>
      <c r="T36" s="171">
        <v>0</v>
      </c>
      <c r="U36" s="171">
        <v>0</v>
      </c>
      <c r="V36" s="171">
        <v>0</v>
      </c>
      <c r="W36" s="171">
        <f t="shared" si="2"/>
        <v>4.75</v>
      </c>
      <c r="X36" s="172">
        <v>3</v>
      </c>
    </row>
    <row r="37" spans="1:24" ht="19.5">
      <c r="A37" s="191">
        <v>7</v>
      </c>
      <c r="B37" s="208">
        <v>5</v>
      </c>
      <c r="C37" s="202" t="s">
        <v>332</v>
      </c>
      <c r="D37" s="288">
        <v>3.25</v>
      </c>
      <c r="E37" s="171">
        <v>0</v>
      </c>
      <c r="F37" s="171">
        <v>0.75</v>
      </c>
      <c r="G37" s="171">
        <v>0</v>
      </c>
      <c r="H37" s="171">
        <v>2</v>
      </c>
      <c r="I37" s="171">
        <v>0</v>
      </c>
      <c r="J37" s="171">
        <v>0</v>
      </c>
      <c r="K37" s="171">
        <v>0</v>
      </c>
      <c r="L37" s="171">
        <v>0</v>
      </c>
      <c r="M37" s="171">
        <v>0</v>
      </c>
      <c r="N37" s="171">
        <v>0</v>
      </c>
      <c r="O37" s="171">
        <v>0</v>
      </c>
      <c r="P37" s="171">
        <v>0</v>
      </c>
      <c r="Q37" s="171">
        <v>0</v>
      </c>
      <c r="R37" s="171">
        <v>0</v>
      </c>
      <c r="S37" s="171">
        <v>0</v>
      </c>
      <c r="T37" s="171">
        <v>0</v>
      </c>
      <c r="U37" s="171">
        <v>0</v>
      </c>
      <c r="V37" s="171">
        <v>0</v>
      </c>
      <c r="W37" s="171">
        <f t="shared" si="2"/>
        <v>2.75</v>
      </c>
      <c r="X37" s="172">
        <v>3</v>
      </c>
    </row>
    <row r="38" spans="1:24" ht="19.5">
      <c r="A38" s="282">
        <v>8</v>
      </c>
      <c r="B38" s="281">
        <v>6</v>
      </c>
      <c r="C38" s="283" t="s">
        <v>121</v>
      </c>
      <c r="D38" s="288">
        <v>2.25</v>
      </c>
      <c r="E38" s="173">
        <v>0.75</v>
      </c>
      <c r="F38" s="173">
        <v>0</v>
      </c>
      <c r="G38" s="173">
        <v>0</v>
      </c>
      <c r="H38" s="173">
        <v>0</v>
      </c>
      <c r="I38" s="173">
        <v>0</v>
      </c>
      <c r="J38" s="173">
        <v>0</v>
      </c>
      <c r="K38" s="173">
        <v>0</v>
      </c>
      <c r="L38" s="173">
        <v>0</v>
      </c>
      <c r="M38" s="173">
        <v>0</v>
      </c>
      <c r="N38" s="173">
        <v>0</v>
      </c>
      <c r="O38" s="173">
        <v>0</v>
      </c>
      <c r="P38" s="173">
        <v>0</v>
      </c>
      <c r="Q38" s="173">
        <v>0</v>
      </c>
      <c r="R38" s="173">
        <v>0</v>
      </c>
      <c r="S38" s="173">
        <v>0</v>
      </c>
      <c r="T38" s="173">
        <v>0</v>
      </c>
      <c r="U38" s="173">
        <v>0</v>
      </c>
      <c r="V38" s="173">
        <v>0</v>
      </c>
      <c r="W38" s="171">
        <f t="shared" si="2"/>
        <v>0.75</v>
      </c>
      <c r="X38" s="284">
        <v>3</v>
      </c>
    </row>
    <row r="39" spans="1:24" ht="20.25" thickBot="1">
      <c r="A39" s="289">
        <v>9</v>
      </c>
      <c r="B39" s="279"/>
      <c r="C39" s="280" t="s">
        <v>370</v>
      </c>
      <c r="D39" s="290">
        <v>2.25</v>
      </c>
      <c r="E39" s="291">
        <v>0</v>
      </c>
      <c r="F39" s="291">
        <v>0.25</v>
      </c>
      <c r="G39" s="291">
        <v>0</v>
      </c>
      <c r="H39" s="291">
        <v>2</v>
      </c>
      <c r="I39" s="291">
        <v>0</v>
      </c>
      <c r="J39" s="291">
        <v>0</v>
      </c>
      <c r="K39" s="291">
        <v>0</v>
      </c>
      <c r="L39" s="291">
        <v>0</v>
      </c>
      <c r="M39" s="291">
        <v>0</v>
      </c>
      <c r="N39" s="291">
        <v>0</v>
      </c>
      <c r="O39" s="291">
        <v>0</v>
      </c>
      <c r="P39" s="291">
        <v>0</v>
      </c>
      <c r="Q39" s="291">
        <v>0</v>
      </c>
      <c r="R39" s="291">
        <v>0</v>
      </c>
      <c r="S39" s="291">
        <v>0</v>
      </c>
      <c r="T39" s="291">
        <v>0</v>
      </c>
      <c r="U39" s="291">
        <v>0</v>
      </c>
      <c r="V39" s="291">
        <v>0</v>
      </c>
      <c r="W39" s="187">
        <f t="shared" si="2"/>
        <v>2.25</v>
      </c>
      <c r="X39" s="292">
        <v>3</v>
      </c>
    </row>
    <row r="40" spans="1:24" ht="15.75">
      <c r="A40" s="282"/>
      <c r="B40" s="282"/>
      <c r="C40" s="285"/>
      <c r="D40" s="286"/>
      <c r="E40" s="287"/>
      <c r="F40" s="287"/>
      <c r="G40" s="287"/>
      <c r="H40" s="287"/>
      <c r="I40" s="287"/>
      <c r="J40" s="287"/>
      <c r="K40" s="287"/>
      <c r="L40" s="287"/>
      <c r="M40" s="287"/>
      <c r="N40" s="287"/>
      <c r="O40" s="287"/>
      <c r="P40" s="287"/>
      <c r="Q40" s="287"/>
      <c r="R40" s="287"/>
      <c r="S40" s="287"/>
      <c r="T40" s="287"/>
      <c r="U40" s="287"/>
      <c r="V40" s="287"/>
      <c r="W40" s="287"/>
      <c r="X40" s="287"/>
    </row>
    <row r="41" spans="1:24" ht="15.75">
      <c r="A41" s="192"/>
      <c r="B41" s="192"/>
      <c r="C41" s="194"/>
      <c r="D41" s="749" t="s">
        <v>545</v>
      </c>
      <c r="E41" s="750"/>
      <c r="F41" s="750"/>
      <c r="G41" s="750"/>
      <c r="H41" s="750"/>
      <c r="I41" s="750"/>
      <c r="J41" s="750"/>
      <c r="K41" s="750"/>
      <c r="L41" s="750"/>
      <c r="M41" s="750"/>
      <c r="N41" s="750"/>
      <c r="O41" s="750"/>
      <c r="P41" s="750"/>
      <c r="Q41" s="750"/>
      <c r="R41" s="750"/>
      <c r="S41" s="750"/>
      <c r="T41" s="750"/>
      <c r="U41" s="750"/>
      <c r="V41" s="750"/>
      <c r="W41" s="750"/>
      <c r="X41" s="750"/>
    </row>
    <row r="42" spans="1:24" ht="15.75">
      <c r="A42" s="192"/>
      <c r="B42" s="192"/>
      <c r="C42" s="194"/>
      <c r="D42" s="750"/>
      <c r="E42" s="750"/>
      <c r="F42" s="750"/>
      <c r="G42" s="750"/>
      <c r="H42" s="750"/>
      <c r="I42" s="750"/>
      <c r="J42" s="750"/>
      <c r="K42" s="750"/>
      <c r="L42" s="750"/>
      <c r="M42" s="750"/>
      <c r="N42" s="750"/>
      <c r="O42" s="750"/>
      <c r="P42" s="750"/>
      <c r="Q42" s="750"/>
      <c r="R42" s="750"/>
      <c r="S42" s="750"/>
      <c r="T42" s="750"/>
      <c r="U42" s="750"/>
      <c r="V42" s="750"/>
      <c r="W42" s="750"/>
      <c r="X42" s="750"/>
    </row>
    <row r="43" spans="1:24" ht="15.75">
      <c r="A43" s="192"/>
      <c r="B43" s="192"/>
      <c r="C43" s="194"/>
      <c r="D43" s="178" t="s">
        <v>329</v>
      </c>
      <c r="E43" s="167">
        <v>1</v>
      </c>
      <c r="F43" s="167">
        <v>2</v>
      </c>
      <c r="G43" s="167">
        <v>3</v>
      </c>
      <c r="H43" s="167">
        <v>4</v>
      </c>
      <c r="I43" s="167">
        <v>5</v>
      </c>
      <c r="J43" s="167">
        <v>6</v>
      </c>
      <c r="K43" s="167">
        <v>7</v>
      </c>
      <c r="L43" s="167">
        <v>8</v>
      </c>
      <c r="M43" s="167">
        <v>9</v>
      </c>
      <c r="N43" s="167">
        <v>10</v>
      </c>
      <c r="O43" s="167">
        <v>11</v>
      </c>
      <c r="P43" s="167">
        <v>12</v>
      </c>
      <c r="Q43" s="167">
        <v>13</v>
      </c>
      <c r="R43" s="167">
        <v>14</v>
      </c>
      <c r="S43" s="167">
        <v>15</v>
      </c>
      <c r="T43" s="167">
        <v>16</v>
      </c>
      <c r="U43" s="167">
        <v>17</v>
      </c>
      <c r="V43" s="167">
        <v>18</v>
      </c>
      <c r="W43" s="168" t="s">
        <v>310</v>
      </c>
      <c r="X43" s="169"/>
    </row>
    <row r="44" spans="1:24" ht="16.5" thickBot="1">
      <c r="A44" s="195"/>
      <c r="B44" s="195"/>
      <c r="C44" s="196"/>
      <c r="D44" s="182" t="s">
        <v>331</v>
      </c>
      <c r="E44" s="197">
        <v>0.75</v>
      </c>
      <c r="F44" s="197">
        <v>0.25</v>
      </c>
      <c r="G44" s="197">
        <v>3</v>
      </c>
      <c r="H44" s="197">
        <v>2</v>
      </c>
      <c r="I44" s="197">
        <v>0.75</v>
      </c>
      <c r="J44" s="197">
        <v>-3</v>
      </c>
      <c r="K44" s="197">
        <v>-4</v>
      </c>
      <c r="L44" s="197">
        <v>20</v>
      </c>
      <c r="M44" s="197">
        <v>10</v>
      </c>
      <c r="N44" s="197">
        <v>5</v>
      </c>
      <c r="O44" s="197">
        <v>3</v>
      </c>
      <c r="P44" s="197">
        <v>5</v>
      </c>
      <c r="Q44" s="197">
        <v>7</v>
      </c>
      <c r="R44" s="197">
        <v>3</v>
      </c>
      <c r="S44" s="197">
        <v>3</v>
      </c>
      <c r="T44" s="197">
        <v>3</v>
      </c>
      <c r="U44" s="197">
        <v>8.25</v>
      </c>
      <c r="V44" s="197">
        <v>16</v>
      </c>
      <c r="W44" s="183" t="s">
        <v>330</v>
      </c>
      <c r="X44" s="184" t="s">
        <v>310</v>
      </c>
    </row>
    <row r="45" spans="1:24" ht="19.5">
      <c r="A45" s="191">
        <v>1</v>
      </c>
      <c r="B45" s="206">
        <v>4</v>
      </c>
      <c r="C45" s="198" t="s">
        <v>333</v>
      </c>
      <c r="D45" s="288">
        <v>68</v>
      </c>
      <c r="E45" s="171">
        <v>3.75</v>
      </c>
      <c r="F45" s="171">
        <v>6.25</v>
      </c>
      <c r="G45" s="171">
        <v>0</v>
      </c>
      <c r="H45" s="171">
        <v>2</v>
      </c>
      <c r="I45" s="171">
        <v>0.75</v>
      </c>
      <c r="J45" s="171">
        <v>0</v>
      </c>
      <c r="K45" s="171">
        <v>0</v>
      </c>
      <c r="L45" s="171">
        <v>0</v>
      </c>
      <c r="M45" s="171">
        <v>0</v>
      </c>
      <c r="N45" s="171">
        <v>0</v>
      </c>
      <c r="O45" s="171">
        <v>0</v>
      </c>
      <c r="P45" s="171">
        <v>0</v>
      </c>
      <c r="Q45" s="171">
        <v>0</v>
      </c>
      <c r="R45" s="171">
        <v>0</v>
      </c>
      <c r="S45" s="171">
        <v>0</v>
      </c>
      <c r="T45" s="171">
        <v>0</v>
      </c>
      <c r="U45" s="171">
        <v>0</v>
      </c>
      <c r="V45" s="171">
        <v>0</v>
      </c>
      <c r="W45" s="171">
        <f>SUM(E45:V45)</f>
        <v>12.75</v>
      </c>
      <c r="X45" s="172">
        <v>4</v>
      </c>
    </row>
    <row r="46" spans="1:24" ht="19.5">
      <c r="A46" s="177">
        <v>2</v>
      </c>
      <c r="B46" s="211">
        <v>4</v>
      </c>
      <c r="C46" s="203" t="s">
        <v>8</v>
      </c>
      <c r="D46" s="288">
        <v>62.75</v>
      </c>
      <c r="E46" s="171">
        <v>1.5</v>
      </c>
      <c r="F46" s="171">
        <v>1.25</v>
      </c>
      <c r="G46" s="171">
        <v>0</v>
      </c>
      <c r="H46" s="171">
        <v>0</v>
      </c>
      <c r="I46" s="171">
        <v>0</v>
      </c>
      <c r="J46" s="171">
        <v>0</v>
      </c>
      <c r="K46" s="171">
        <v>0</v>
      </c>
      <c r="L46" s="171">
        <v>0</v>
      </c>
      <c r="M46" s="171">
        <v>0</v>
      </c>
      <c r="N46" s="171">
        <v>0</v>
      </c>
      <c r="O46" s="171">
        <v>0</v>
      </c>
      <c r="P46" s="171">
        <v>7</v>
      </c>
      <c r="Q46" s="171">
        <v>0</v>
      </c>
      <c r="R46" s="171">
        <v>0</v>
      </c>
      <c r="S46" s="171">
        <v>0</v>
      </c>
      <c r="T46" s="171">
        <v>3</v>
      </c>
      <c r="U46" s="171">
        <v>0</v>
      </c>
      <c r="V46" s="171">
        <v>0</v>
      </c>
      <c r="W46" s="171">
        <f aca="true" t="shared" si="3" ref="W46:W53">SUM(E46:V46)</f>
        <v>12.75</v>
      </c>
      <c r="X46" s="172">
        <v>4</v>
      </c>
    </row>
    <row r="47" spans="1:24" ht="19.5">
      <c r="A47" s="191">
        <v>3</v>
      </c>
      <c r="B47" s="206">
        <v>4</v>
      </c>
      <c r="C47" s="202" t="s">
        <v>12</v>
      </c>
      <c r="D47" s="288">
        <v>54.75</v>
      </c>
      <c r="E47" s="171">
        <v>1.5</v>
      </c>
      <c r="F47" s="171">
        <v>1.5</v>
      </c>
      <c r="G47" s="171">
        <v>0</v>
      </c>
      <c r="H47" s="171">
        <v>2</v>
      </c>
      <c r="I47" s="171">
        <v>0</v>
      </c>
      <c r="J47" s="171">
        <v>0</v>
      </c>
      <c r="K47" s="171">
        <v>0</v>
      </c>
      <c r="L47" s="171">
        <v>0</v>
      </c>
      <c r="M47" s="171">
        <v>0</v>
      </c>
      <c r="N47" s="171">
        <v>0</v>
      </c>
      <c r="O47" s="171">
        <v>3</v>
      </c>
      <c r="P47" s="171">
        <v>0</v>
      </c>
      <c r="Q47" s="171">
        <v>7</v>
      </c>
      <c r="R47" s="171">
        <v>3</v>
      </c>
      <c r="S47" s="171">
        <v>0</v>
      </c>
      <c r="T47" s="171">
        <v>0</v>
      </c>
      <c r="U47" s="171">
        <v>0</v>
      </c>
      <c r="V47" s="171">
        <v>0</v>
      </c>
      <c r="W47" s="171">
        <f t="shared" si="3"/>
        <v>18</v>
      </c>
      <c r="X47" s="172">
        <v>4</v>
      </c>
    </row>
    <row r="48" spans="1:24" ht="19.5">
      <c r="A48" s="658">
        <v>4</v>
      </c>
      <c r="B48" s="209">
        <v>5</v>
      </c>
      <c r="C48" s="659" t="s">
        <v>10</v>
      </c>
      <c r="D48" s="288">
        <v>18.5</v>
      </c>
      <c r="E48" s="278">
        <v>0.75</v>
      </c>
      <c r="F48" s="278">
        <v>1.25</v>
      </c>
      <c r="G48" s="278">
        <v>0</v>
      </c>
      <c r="H48" s="278">
        <v>2</v>
      </c>
      <c r="I48" s="278">
        <v>0</v>
      </c>
      <c r="J48" s="278">
        <v>0</v>
      </c>
      <c r="K48" s="278">
        <v>0</v>
      </c>
      <c r="L48" s="278">
        <v>0</v>
      </c>
      <c r="M48" s="278">
        <v>0</v>
      </c>
      <c r="N48" s="278">
        <v>0</v>
      </c>
      <c r="O48" s="278">
        <v>0</v>
      </c>
      <c r="P48" s="278">
        <v>0</v>
      </c>
      <c r="Q48" s="278">
        <v>0</v>
      </c>
      <c r="R48" s="278">
        <v>0</v>
      </c>
      <c r="S48" s="278">
        <v>3</v>
      </c>
      <c r="T48" s="278">
        <v>0</v>
      </c>
      <c r="U48" s="278">
        <v>0</v>
      </c>
      <c r="V48" s="278">
        <v>0</v>
      </c>
      <c r="W48" s="171">
        <f>SUM(E48:V48)</f>
        <v>7</v>
      </c>
      <c r="X48" s="172">
        <v>4</v>
      </c>
    </row>
    <row r="49" spans="1:24" ht="19.5">
      <c r="A49" s="191">
        <v>5</v>
      </c>
      <c r="B49" s="210">
        <v>6</v>
      </c>
      <c r="C49" s="202" t="s">
        <v>53</v>
      </c>
      <c r="D49" s="288">
        <v>17</v>
      </c>
      <c r="E49" s="171">
        <v>3</v>
      </c>
      <c r="F49" s="171">
        <v>0.25</v>
      </c>
      <c r="G49" s="171">
        <v>0</v>
      </c>
      <c r="H49" s="171">
        <v>0</v>
      </c>
      <c r="I49" s="171">
        <v>0</v>
      </c>
      <c r="J49" s="171">
        <v>0</v>
      </c>
      <c r="K49" s="171">
        <v>0</v>
      </c>
      <c r="L49" s="171">
        <v>0</v>
      </c>
      <c r="M49" s="171">
        <v>0</v>
      </c>
      <c r="N49" s="171">
        <v>0</v>
      </c>
      <c r="O49" s="171">
        <v>0</v>
      </c>
      <c r="P49" s="171">
        <v>0</v>
      </c>
      <c r="Q49" s="171">
        <v>0</v>
      </c>
      <c r="R49" s="171">
        <v>0</v>
      </c>
      <c r="S49" s="171">
        <v>0</v>
      </c>
      <c r="T49" s="171">
        <v>0</v>
      </c>
      <c r="U49" s="171">
        <v>0</v>
      </c>
      <c r="V49" s="171">
        <v>0</v>
      </c>
      <c r="W49" s="171">
        <f t="shared" si="3"/>
        <v>3.25</v>
      </c>
      <c r="X49" s="172">
        <v>4</v>
      </c>
    </row>
    <row r="50" spans="1:24" ht="19.5">
      <c r="A50" s="192">
        <v>6</v>
      </c>
      <c r="B50" s="211">
        <v>4</v>
      </c>
      <c r="C50" s="203" t="s">
        <v>52</v>
      </c>
      <c r="D50" s="288">
        <v>8.75</v>
      </c>
      <c r="E50" s="171">
        <v>0.75</v>
      </c>
      <c r="F50" s="171">
        <v>0</v>
      </c>
      <c r="G50" s="171">
        <v>0</v>
      </c>
      <c r="H50" s="171">
        <v>0</v>
      </c>
      <c r="I50" s="171">
        <v>0</v>
      </c>
      <c r="J50" s="171">
        <v>0</v>
      </c>
      <c r="K50" s="171">
        <v>0</v>
      </c>
      <c r="L50" s="171">
        <v>0</v>
      </c>
      <c r="M50" s="171">
        <v>0</v>
      </c>
      <c r="N50" s="171">
        <v>0</v>
      </c>
      <c r="O50" s="171">
        <v>0</v>
      </c>
      <c r="P50" s="171">
        <v>0</v>
      </c>
      <c r="Q50" s="171">
        <v>0</v>
      </c>
      <c r="R50" s="171">
        <v>0</v>
      </c>
      <c r="S50" s="171">
        <v>0</v>
      </c>
      <c r="T50" s="171">
        <v>0</v>
      </c>
      <c r="U50" s="171">
        <v>0</v>
      </c>
      <c r="V50" s="171">
        <v>0</v>
      </c>
      <c r="W50" s="171">
        <f t="shared" si="3"/>
        <v>0.75</v>
      </c>
      <c r="X50" s="172">
        <v>4</v>
      </c>
    </row>
    <row r="51" spans="1:24" ht="19.5">
      <c r="A51" s="191">
        <v>7</v>
      </c>
      <c r="B51" s="206">
        <v>4</v>
      </c>
      <c r="C51" s="202" t="s">
        <v>332</v>
      </c>
      <c r="D51" s="288">
        <v>3.75</v>
      </c>
      <c r="E51" s="171">
        <v>0</v>
      </c>
      <c r="F51" s="171">
        <v>0.5</v>
      </c>
      <c r="G51" s="171">
        <v>0</v>
      </c>
      <c r="H51" s="171">
        <v>0</v>
      </c>
      <c r="I51" s="171">
        <v>0</v>
      </c>
      <c r="J51" s="171">
        <v>0</v>
      </c>
      <c r="K51" s="171">
        <v>0</v>
      </c>
      <c r="L51" s="171">
        <v>0</v>
      </c>
      <c r="M51" s="171">
        <v>0</v>
      </c>
      <c r="N51" s="171">
        <v>0</v>
      </c>
      <c r="O51" s="171">
        <v>0</v>
      </c>
      <c r="P51" s="171">
        <v>0</v>
      </c>
      <c r="Q51" s="171">
        <v>0</v>
      </c>
      <c r="R51" s="171">
        <v>0</v>
      </c>
      <c r="S51" s="171">
        <v>0</v>
      </c>
      <c r="T51" s="171">
        <v>0</v>
      </c>
      <c r="U51" s="171">
        <v>0</v>
      </c>
      <c r="V51" s="171">
        <v>0</v>
      </c>
      <c r="W51" s="171">
        <f t="shared" si="3"/>
        <v>0.5</v>
      </c>
      <c r="X51" s="172">
        <v>4</v>
      </c>
    </row>
    <row r="52" spans="1:24" ht="19.5">
      <c r="A52" s="381">
        <v>8</v>
      </c>
      <c r="B52" s="211">
        <v>4</v>
      </c>
      <c r="C52" s="283" t="s">
        <v>370</v>
      </c>
      <c r="D52" s="382">
        <v>2.5</v>
      </c>
      <c r="E52" s="383">
        <v>0</v>
      </c>
      <c r="F52" s="383">
        <v>0.25</v>
      </c>
      <c r="G52" s="383">
        <v>0</v>
      </c>
      <c r="H52" s="383">
        <v>0</v>
      </c>
      <c r="I52" s="383">
        <v>0</v>
      </c>
      <c r="J52" s="383">
        <v>0</v>
      </c>
      <c r="K52" s="383">
        <v>0</v>
      </c>
      <c r="L52" s="383">
        <v>0</v>
      </c>
      <c r="M52" s="383">
        <v>0</v>
      </c>
      <c r="N52" s="383">
        <v>0</v>
      </c>
      <c r="O52" s="383">
        <v>0</v>
      </c>
      <c r="P52" s="383">
        <v>0</v>
      </c>
      <c r="Q52" s="383">
        <v>0</v>
      </c>
      <c r="R52" s="383">
        <v>0</v>
      </c>
      <c r="S52" s="383">
        <v>0</v>
      </c>
      <c r="T52" s="383">
        <v>0</v>
      </c>
      <c r="U52" s="383">
        <v>0</v>
      </c>
      <c r="V52" s="383">
        <v>0</v>
      </c>
      <c r="W52" s="173">
        <f>SUM(E52:V52)</f>
        <v>0.25</v>
      </c>
      <c r="X52" s="384">
        <v>4</v>
      </c>
    </row>
    <row r="53" spans="1:24" ht="20.25" thickBot="1">
      <c r="A53" s="289">
        <v>9</v>
      </c>
      <c r="B53" s="279">
        <v>4</v>
      </c>
      <c r="C53" s="280" t="s">
        <v>121</v>
      </c>
      <c r="D53" s="290">
        <v>2.25</v>
      </c>
      <c r="E53" s="187">
        <v>0</v>
      </c>
      <c r="F53" s="187">
        <v>0</v>
      </c>
      <c r="G53" s="187">
        <v>0</v>
      </c>
      <c r="H53" s="187">
        <v>0</v>
      </c>
      <c r="I53" s="187">
        <v>0</v>
      </c>
      <c r="J53" s="187">
        <v>0</v>
      </c>
      <c r="K53" s="187">
        <v>0</v>
      </c>
      <c r="L53" s="187">
        <v>0</v>
      </c>
      <c r="M53" s="187">
        <v>0</v>
      </c>
      <c r="N53" s="187">
        <v>0</v>
      </c>
      <c r="O53" s="187">
        <v>0</v>
      </c>
      <c r="P53" s="187">
        <v>0</v>
      </c>
      <c r="Q53" s="187">
        <v>0</v>
      </c>
      <c r="R53" s="187">
        <v>0</v>
      </c>
      <c r="S53" s="187">
        <v>0</v>
      </c>
      <c r="T53" s="187">
        <v>0</v>
      </c>
      <c r="U53" s="187">
        <v>0</v>
      </c>
      <c r="V53" s="187">
        <v>0</v>
      </c>
      <c r="W53" s="187">
        <f t="shared" si="3"/>
        <v>0</v>
      </c>
      <c r="X53" s="188">
        <v>4</v>
      </c>
    </row>
    <row r="54" ht="15.75"/>
    <row r="55" spans="1:24" ht="15.75">
      <c r="A55" s="192"/>
      <c r="B55" s="192"/>
      <c r="C55" s="194"/>
      <c r="D55" s="749" t="s">
        <v>546</v>
      </c>
      <c r="E55" s="750"/>
      <c r="F55" s="750"/>
      <c r="G55" s="750"/>
      <c r="H55" s="750"/>
      <c r="I55" s="750"/>
      <c r="J55" s="750"/>
      <c r="K55" s="750"/>
      <c r="L55" s="750"/>
      <c r="M55" s="750"/>
      <c r="N55" s="750"/>
      <c r="O55" s="750"/>
      <c r="P55" s="750"/>
      <c r="Q55" s="750"/>
      <c r="R55" s="750"/>
      <c r="S55" s="750"/>
      <c r="T55" s="750"/>
      <c r="U55" s="750"/>
      <c r="V55" s="750"/>
      <c r="W55" s="750"/>
      <c r="X55" s="750"/>
    </row>
    <row r="56" spans="1:24" ht="15.75">
      <c r="A56" s="192"/>
      <c r="B56" s="192"/>
      <c r="C56" s="194"/>
      <c r="D56" s="750"/>
      <c r="E56" s="750"/>
      <c r="F56" s="750"/>
      <c r="G56" s="750"/>
      <c r="H56" s="750"/>
      <c r="I56" s="750"/>
      <c r="J56" s="750"/>
      <c r="K56" s="750"/>
      <c r="L56" s="750"/>
      <c r="M56" s="750"/>
      <c r="N56" s="750"/>
      <c r="O56" s="750"/>
      <c r="P56" s="750"/>
      <c r="Q56" s="750"/>
      <c r="R56" s="750"/>
      <c r="S56" s="750"/>
      <c r="T56" s="750"/>
      <c r="U56" s="750"/>
      <c r="V56" s="750"/>
      <c r="W56" s="750"/>
      <c r="X56" s="750"/>
    </row>
    <row r="57" spans="1:24" ht="15.75">
      <c r="A57" s="192"/>
      <c r="B57" s="192"/>
      <c r="C57" s="194"/>
      <c r="D57" s="178" t="s">
        <v>329</v>
      </c>
      <c r="E57" s="167">
        <v>1</v>
      </c>
      <c r="F57" s="167">
        <v>2</v>
      </c>
      <c r="G57" s="167">
        <v>3</v>
      </c>
      <c r="H57" s="167">
        <v>4</v>
      </c>
      <c r="I57" s="167">
        <v>5</v>
      </c>
      <c r="J57" s="167">
        <v>6</v>
      </c>
      <c r="K57" s="167">
        <v>7</v>
      </c>
      <c r="L57" s="167">
        <v>8</v>
      </c>
      <c r="M57" s="167">
        <v>9</v>
      </c>
      <c r="N57" s="167">
        <v>10</v>
      </c>
      <c r="O57" s="167">
        <v>11</v>
      </c>
      <c r="P57" s="167">
        <v>12</v>
      </c>
      <c r="Q57" s="167">
        <v>13</v>
      </c>
      <c r="R57" s="167">
        <v>14</v>
      </c>
      <c r="S57" s="167">
        <v>15</v>
      </c>
      <c r="T57" s="167">
        <v>16</v>
      </c>
      <c r="U57" s="167">
        <v>17</v>
      </c>
      <c r="V57" s="167">
        <v>18</v>
      </c>
      <c r="W57" s="168" t="s">
        <v>310</v>
      </c>
      <c r="X57" s="169"/>
    </row>
    <row r="58" spans="1:24" ht="16.5" thickBot="1">
      <c r="A58" s="195"/>
      <c r="B58" s="195"/>
      <c r="C58" s="196"/>
      <c r="D58" s="182" t="s">
        <v>331</v>
      </c>
      <c r="E58" s="197">
        <v>0.75</v>
      </c>
      <c r="F58" s="197">
        <v>0.25</v>
      </c>
      <c r="G58" s="197">
        <v>3</v>
      </c>
      <c r="H58" s="197">
        <v>2</v>
      </c>
      <c r="I58" s="197">
        <v>0.75</v>
      </c>
      <c r="J58" s="197">
        <v>-3</v>
      </c>
      <c r="K58" s="197">
        <v>-4</v>
      </c>
      <c r="L58" s="197">
        <v>20</v>
      </c>
      <c r="M58" s="197">
        <v>10</v>
      </c>
      <c r="N58" s="197">
        <v>5</v>
      </c>
      <c r="O58" s="197">
        <v>3</v>
      </c>
      <c r="P58" s="197">
        <v>5</v>
      </c>
      <c r="Q58" s="197">
        <v>7</v>
      </c>
      <c r="R58" s="197">
        <v>3</v>
      </c>
      <c r="S58" s="197">
        <v>3</v>
      </c>
      <c r="T58" s="197">
        <v>3</v>
      </c>
      <c r="U58" s="197">
        <v>8.25</v>
      </c>
      <c r="V58" s="197">
        <v>16</v>
      </c>
      <c r="W58" s="183" t="s">
        <v>330</v>
      </c>
      <c r="X58" s="184" t="s">
        <v>310</v>
      </c>
    </row>
    <row r="59" spans="1:24" ht="19.5">
      <c r="A59" s="191">
        <v>1</v>
      </c>
      <c r="B59" s="206">
        <v>4</v>
      </c>
      <c r="C59" s="198" t="s">
        <v>333</v>
      </c>
      <c r="D59" s="288">
        <v>76.75</v>
      </c>
      <c r="E59" s="171">
        <v>3.75</v>
      </c>
      <c r="F59" s="171">
        <v>2.25</v>
      </c>
      <c r="G59" s="171">
        <v>0</v>
      </c>
      <c r="H59" s="171">
        <v>2</v>
      </c>
      <c r="I59" s="171">
        <v>0.75</v>
      </c>
      <c r="J59" s="171">
        <v>0</v>
      </c>
      <c r="K59" s="171">
        <v>0</v>
      </c>
      <c r="L59" s="171"/>
      <c r="M59" s="171"/>
      <c r="N59" s="171"/>
      <c r="O59" s="171"/>
      <c r="P59" s="171"/>
      <c r="Q59" s="171"/>
      <c r="R59" s="171"/>
      <c r="S59" s="171"/>
      <c r="T59" s="171"/>
      <c r="U59" s="171"/>
      <c r="V59" s="171"/>
      <c r="W59" s="171">
        <f>SUM(E59:V59)</f>
        <v>8.75</v>
      </c>
      <c r="X59" s="172">
        <v>5</v>
      </c>
    </row>
    <row r="60" spans="1:24" ht="19.5">
      <c r="A60" s="177">
        <v>2</v>
      </c>
      <c r="B60" s="211">
        <v>4</v>
      </c>
      <c r="C60" s="203" t="s">
        <v>8</v>
      </c>
      <c r="D60" s="288">
        <v>65</v>
      </c>
      <c r="E60" s="171">
        <v>1.5</v>
      </c>
      <c r="F60" s="171">
        <v>0.75</v>
      </c>
      <c r="G60" s="171">
        <v>0</v>
      </c>
      <c r="H60" s="171">
        <v>0</v>
      </c>
      <c r="I60" s="171">
        <v>0</v>
      </c>
      <c r="J60" s="171">
        <v>0</v>
      </c>
      <c r="K60" s="171">
        <v>0</v>
      </c>
      <c r="L60" s="171"/>
      <c r="M60" s="171"/>
      <c r="N60" s="171"/>
      <c r="O60" s="171"/>
      <c r="P60" s="171"/>
      <c r="Q60" s="171"/>
      <c r="R60" s="171"/>
      <c r="S60" s="171"/>
      <c r="T60" s="171"/>
      <c r="U60" s="171"/>
      <c r="V60" s="171"/>
      <c r="W60" s="171">
        <f aca="true" t="shared" si="4" ref="W60:W65">SUM(E60:V60)</f>
        <v>2.25</v>
      </c>
      <c r="X60" s="172">
        <v>5</v>
      </c>
    </row>
    <row r="61" spans="1:24" ht="19.5">
      <c r="A61" s="191">
        <v>3</v>
      </c>
      <c r="B61" s="206">
        <v>4</v>
      </c>
      <c r="C61" s="202" t="s">
        <v>12</v>
      </c>
      <c r="D61" s="288">
        <v>61.5</v>
      </c>
      <c r="E61" s="171">
        <v>2.25</v>
      </c>
      <c r="F61" s="171">
        <v>1.5</v>
      </c>
      <c r="G61" s="171">
        <v>3</v>
      </c>
      <c r="H61" s="171">
        <v>0</v>
      </c>
      <c r="I61" s="171">
        <v>0</v>
      </c>
      <c r="J61" s="171">
        <v>0</v>
      </c>
      <c r="K61" s="171">
        <v>0</v>
      </c>
      <c r="L61" s="171"/>
      <c r="M61" s="171"/>
      <c r="N61" s="171"/>
      <c r="O61" s="171"/>
      <c r="P61" s="171"/>
      <c r="Q61" s="171"/>
      <c r="R61" s="171"/>
      <c r="S61" s="171"/>
      <c r="T61" s="171"/>
      <c r="U61" s="171"/>
      <c r="V61" s="171"/>
      <c r="W61" s="171">
        <f t="shared" si="4"/>
        <v>6.75</v>
      </c>
      <c r="X61" s="172">
        <v>5</v>
      </c>
    </row>
    <row r="62" spans="1:24" ht="19.5">
      <c r="A62" s="177">
        <v>4</v>
      </c>
      <c r="B62" s="209">
        <v>5</v>
      </c>
      <c r="C62" s="203" t="s">
        <v>53</v>
      </c>
      <c r="D62" s="288">
        <v>20</v>
      </c>
      <c r="E62" s="171">
        <v>3</v>
      </c>
      <c r="F62" s="171">
        <v>0</v>
      </c>
      <c r="G62" s="171">
        <v>0</v>
      </c>
      <c r="H62" s="171">
        <v>0</v>
      </c>
      <c r="I62" s="171">
        <v>0</v>
      </c>
      <c r="J62" s="171">
        <v>0</v>
      </c>
      <c r="K62" s="171">
        <v>0</v>
      </c>
      <c r="L62" s="171"/>
      <c r="M62" s="171"/>
      <c r="N62" s="171"/>
      <c r="O62" s="171"/>
      <c r="P62" s="171"/>
      <c r="Q62" s="171"/>
      <c r="R62" s="171"/>
      <c r="S62" s="171"/>
      <c r="T62" s="171"/>
      <c r="U62" s="171"/>
      <c r="V62" s="171"/>
      <c r="W62" s="171">
        <f t="shared" si="4"/>
        <v>3</v>
      </c>
      <c r="X62" s="172">
        <v>5</v>
      </c>
    </row>
    <row r="63" spans="1:24" ht="19.5">
      <c r="A63" s="191">
        <v>5</v>
      </c>
      <c r="B63" s="210">
        <v>6</v>
      </c>
      <c r="C63" s="204" t="s">
        <v>10</v>
      </c>
      <c r="D63" s="288">
        <v>20</v>
      </c>
      <c r="E63" s="278">
        <v>0.75</v>
      </c>
      <c r="F63" s="278">
        <v>0.75</v>
      </c>
      <c r="G63" s="278">
        <v>0</v>
      </c>
      <c r="H63" s="278">
        <v>0</v>
      </c>
      <c r="I63" s="278">
        <v>0</v>
      </c>
      <c r="J63" s="278">
        <v>0</v>
      </c>
      <c r="K63" s="278">
        <v>0</v>
      </c>
      <c r="L63" s="278"/>
      <c r="M63" s="278"/>
      <c r="N63" s="278"/>
      <c r="O63" s="278"/>
      <c r="P63" s="278"/>
      <c r="Q63" s="278"/>
      <c r="R63" s="278"/>
      <c r="S63" s="278"/>
      <c r="T63" s="278"/>
      <c r="U63" s="278"/>
      <c r="V63" s="278"/>
      <c r="W63" s="171">
        <f t="shared" si="4"/>
        <v>1.5</v>
      </c>
      <c r="X63" s="172">
        <v>5</v>
      </c>
    </row>
    <row r="64" spans="1:24" ht="19.5">
      <c r="A64" s="192">
        <v>6</v>
      </c>
      <c r="B64" s="211">
        <v>4</v>
      </c>
      <c r="C64" s="203" t="s">
        <v>52</v>
      </c>
      <c r="D64" s="288">
        <v>11.5</v>
      </c>
      <c r="E64" s="171">
        <v>0.75</v>
      </c>
      <c r="F64" s="171">
        <v>0</v>
      </c>
      <c r="G64" s="171">
        <v>0</v>
      </c>
      <c r="H64" s="171">
        <v>2</v>
      </c>
      <c r="I64" s="171">
        <v>0</v>
      </c>
      <c r="J64" s="171">
        <v>0</v>
      </c>
      <c r="K64" s="171">
        <v>0</v>
      </c>
      <c r="L64" s="171"/>
      <c r="M64" s="171"/>
      <c r="N64" s="171"/>
      <c r="O64" s="171"/>
      <c r="P64" s="171"/>
      <c r="Q64" s="171"/>
      <c r="R64" s="171"/>
      <c r="S64" s="171"/>
      <c r="T64" s="171"/>
      <c r="U64" s="171"/>
      <c r="V64" s="171"/>
      <c r="W64" s="171">
        <f t="shared" si="4"/>
        <v>2.75</v>
      </c>
      <c r="X64" s="172">
        <v>5</v>
      </c>
    </row>
    <row r="65" spans="1:24" ht="19.5">
      <c r="A65" s="191">
        <v>7</v>
      </c>
      <c r="B65" s="206">
        <v>4</v>
      </c>
      <c r="C65" s="202" t="s">
        <v>332</v>
      </c>
      <c r="D65" s="288">
        <v>4.25</v>
      </c>
      <c r="E65" s="171">
        <v>0</v>
      </c>
      <c r="F65" s="171">
        <v>0.5</v>
      </c>
      <c r="G65" s="171">
        <v>0</v>
      </c>
      <c r="H65" s="171">
        <v>0</v>
      </c>
      <c r="I65" s="171">
        <v>0</v>
      </c>
      <c r="J65" s="171">
        <v>0</v>
      </c>
      <c r="K65" s="171">
        <v>0</v>
      </c>
      <c r="L65" s="171"/>
      <c r="M65" s="171"/>
      <c r="N65" s="171"/>
      <c r="O65" s="171"/>
      <c r="P65" s="171"/>
      <c r="Q65" s="171"/>
      <c r="R65" s="171"/>
      <c r="S65" s="171"/>
      <c r="T65" s="171"/>
      <c r="U65" s="171"/>
      <c r="V65" s="171"/>
      <c r="W65" s="171">
        <f t="shared" si="4"/>
        <v>0.5</v>
      </c>
      <c r="X65" s="172">
        <v>5</v>
      </c>
    </row>
    <row r="66" spans="1:24" ht="19.5">
      <c r="A66" s="381">
        <v>8</v>
      </c>
      <c r="B66" s="211">
        <v>4</v>
      </c>
      <c r="C66" s="283" t="s">
        <v>370</v>
      </c>
      <c r="D66" s="382">
        <v>2.75</v>
      </c>
      <c r="E66" s="383">
        <v>0</v>
      </c>
      <c r="F66" s="383">
        <v>0.25</v>
      </c>
      <c r="G66" s="383">
        <v>0</v>
      </c>
      <c r="H66" s="383">
        <v>0</v>
      </c>
      <c r="I66" s="383">
        <v>0</v>
      </c>
      <c r="J66" s="383">
        <v>0</v>
      </c>
      <c r="K66" s="383">
        <v>0</v>
      </c>
      <c r="L66" s="383"/>
      <c r="M66" s="383"/>
      <c r="N66" s="383"/>
      <c r="O66" s="383"/>
      <c r="P66" s="383"/>
      <c r="Q66" s="383"/>
      <c r="R66" s="383"/>
      <c r="S66" s="383"/>
      <c r="T66" s="383"/>
      <c r="U66" s="383"/>
      <c r="V66" s="383"/>
      <c r="W66" s="173">
        <f>SUM(E66:V66)</f>
        <v>0.25</v>
      </c>
      <c r="X66" s="384">
        <v>5</v>
      </c>
    </row>
    <row r="67" spans="1:24" ht="19.5">
      <c r="A67" s="660">
        <v>9</v>
      </c>
      <c r="B67" s="206">
        <v>4</v>
      </c>
      <c r="C67" s="661" t="s">
        <v>121</v>
      </c>
      <c r="D67" s="382">
        <v>2.25</v>
      </c>
      <c r="E67" s="173">
        <v>0</v>
      </c>
      <c r="F67" s="173">
        <v>0</v>
      </c>
      <c r="G67" s="173">
        <v>0</v>
      </c>
      <c r="H67" s="173">
        <v>0</v>
      </c>
      <c r="I67" s="173">
        <v>0</v>
      </c>
      <c r="J67" s="173">
        <v>0</v>
      </c>
      <c r="K67" s="173">
        <v>0</v>
      </c>
      <c r="L67" s="173"/>
      <c r="M67" s="173"/>
      <c r="N67" s="173"/>
      <c r="O67" s="173"/>
      <c r="P67" s="173"/>
      <c r="Q67" s="173"/>
      <c r="R67" s="173"/>
      <c r="S67" s="173"/>
      <c r="T67" s="173"/>
      <c r="U67" s="173"/>
      <c r="V67" s="173"/>
      <c r="W67" s="173">
        <f>SUM(E67:V67)</f>
        <v>0</v>
      </c>
      <c r="X67" s="284">
        <v>5</v>
      </c>
    </row>
    <row r="68" spans="1:24" ht="20.25" thickBot="1">
      <c r="A68" s="195">
        <v>10</v>
      </c>
      <c r="B68" s="211"/>
      <c r="C68" s="205" t="s">
        <v>547</v>
      </c>
      <c r="D68" s="290">
        <v>0.75</v>
      </c>
      <c r="E68" s="291">
        <v>0.75</v>
      </c>
      <c r="F68" s="291">
        <v>0</v>
      </c>
      <c r="G68" s="291">
        <v>0</v>
      </c>
      <c r="H68" s="291">
        <v>0</v>
      </c>
      <c r="I68" s="291">
        <v>0</v>
      </c>
      <c r="J68" s="291">
        <v>0</v>
      </c>
      <c r="K68" s="291">
        <v>0</v>
      </c>
      <c r="L68" s="291"/>
      <c r="M68" s="291"/>
      <c r="N68" s="291"/>
      <c r="O68" s="291"/>
      <c r="P68" s="291"/>
      <c r="Q68" s="291"/>
      <c r="R68" s="291"/>
      <c r="S68" s="291"/>
      <c r="T68" s="291"/>
      <c r="U68" s="291"/>
      <c r="V68" s="291"/>
      <c r="W68" s="187">
        <f>SUM(E68:V68)</f>
        <v>0.75</v>
      </c>
      <c r="X68" s="292">
        <v>5</v>
      </c>
    </row>
  </sheetData>
  <sheetProtection/>
  <mergeCells count="5">
    <mergeCell ref="D1:X2"/>
    <mergeCell ref="D14:X15"/>
    <mergeCell ref="D27:X28"/>
    <mergeCell ref="D41:X42"/>
    <mergeCell ref="D55:X56"/>
  </mergeCells>
  <printOptions/>
  <pageMargins left="0.7" right="0.7" top="0.75" bottom="0.75" header="0.3" footer="0.3"/>
  <pageSetup orientation="portrait" paperSize="9"/>
  <ignoredErrors>
    <ignoredError sqref="W50:W53 W46:W47 W49 W45 W48 W59:W68" formulaRange="1"/>
  </ignoredErrors>
  <drawing r:id="rId3"/>
  <legacyDrawing r:id="rId2"/>
</worksheet>
</file>

<file path=xl/worksheets/sheet8.xml><?xml version="1.0" encoding="utf-8"?>
<worksheet xmlns="http://schemas.openxmlformats.org/spreadsheetml/2006/main" xmlns:r="http://schemas.openxmlformats.org/officeDocument/2006/relationships">
  <dimension ref="A1:Q89"/>
  <sheetViews>
    <sheetView zoomScalePageLayoutView="0" workbookViewId="0" topLeftCell="A1">
      <selection activeCell="A3" sqref="A3:F3"/>
    </sheetView>
  </sheetViews>
  <sheetFormatPr defaultColWidth="4.57421875" defaultRowHeight="12.75"/>
  <cols>
    <col min="1" max="1" width="4.421875" style="0" bestFit="1" customWidth="1"/>
    <col min="2" max="3" width="1.8515625" style="0" customWidth="1"/>
    <col min="4" max="4" width="1.7109375" style="0" bestFit="1" customWidth="1"/>
    <col min="5" max="5" width="2.00390625" style="0" bestFit="1" customWidth="1"/>
    <col min="6" max="6" width="1.7109375" style="0" bestFit="1" customWidth="1"/>
    <col min="7" max="7" width="47.28125" style="190" bestFit="1" customWidth="1"/>
    <col min="8" max="8" width="23.00390625" style="0" bestFit="1" customWidth="1"/>
    <col min="9" max="9" width="7.8515625" style="0" bestFit="1" customWidth="1"/>
    <col min="10" max="10" width="19.7109375" style="0" bestFit="1" customWidth="1"/>
    <col min="11" max="11" width="7.8515625" style="0" bestFit="1" customWidth="1"/>
    <col min="12" max="12" width="5.421875" style="0" bestFit="1" customWidth="1"/>
    <col min="13" max="13" width="13.140625" style="0" bestFit="1" customWidth="1"/>
    <col min="14" max="14" width="8.421875" style="0" bestFit="1" customWidth="1"/>
    <col min="15" max="15" width="12.28125" style="0" bestFit="1" customWidth="1"/>
    <col min="16" max="16" width="8.8515625" style="0" bestFit="1" customWidth="1"/>
    <col min="17" max="17" width="7.8515625" style="0" bestFit="1" customWidth="1"/>
    <col min="18" max="18" width="4.00390625" style="0" bestFit="1" customWidth="1"/>
    <col min="19" max="19" width="5.421875" style="0" bestFit="1" customWidth="1"/>
    <col min="20" max="20" width="10.28125" style="0" bestFit="1" customWidth="1"/>
    <col min="21" max="21" width="6.28125" style="0" bestFit="1" customWidth="1"/>
    <col min="22" max="22" width="9.8515625" style="0" bestFit="1" customWidth="1"/>
    <col min="23" max="24" width="13.140625" style="0" bestFit="1" customWidth="1"/>
    <col min="25" max="25" width="8.421875" style="0" bestFit="1" customWidth="1"/>
    <col min="26" max="27" width="5.28125" style="0" bestFit="1" customWidth="1"/>
    <col min="28" max="29" width="5.421875" style="0" bestFit="1" customWidth="1"/>
    <col min="30" max="30" width="11.28125" style="0" bestFit="1" customWidth="1"/>
    <col min="31" max="31" width="6.28125" style="0" bestFit="1" customWidth="1"/>
    <col min="32" max="32" width="12.28125" style="0" bestFit="1" customWidth="1"/>
    <col min="33" max="33" width="8.8515625" style="0" bestFit="1" customWidth="1"/>
  </cols>
  <sheetData>
    <row r="1" spans="1:17" ht="12.75">
      <c r="A1" s="751" t="s">
        <v>440</v>
      </c>
      <c r="B1" s="751"/>
      <c r="C1" s="751"/>
      <c r="D1" s="751"/>
      <c r="E1" s="751"/>
      <c r="F1" s="751"/>
      <c r="G1" s="751"/>
      <c r="H1" s="751"/>
      <c r="I1" s="751"/>
      <c r="J1" s="751"/>
      <c r="K1" s="751"/>
      <c r="L1" s="751"/>
      <c r="M1" s="751"/>
      <c r="N1" s="751"/>
      <c r="O1" s="751"/>
      <c r="P1" s="751"/>
      <c r="Q1" s="751"/>
    </row>
    <row r="2" spans="1:17" s="464" customFormat="1" ht="11.25">
      <c r="A2" s="463"/>
      <c r="B2" s="463"/>
      <c r="C2" s="463"/>
      <c r="D2" s="463"/>
      <c r="E2" s="463"/>
      <c r="F2" s="463"/>
      <c r="G2" s="463"/>
      <c r="H2" s="463"/>
      <c r="I2" s="463" t="s">
        <v>409</v>
      </c>
      <c r="J2" s="463"/>
      <c r="K2" s="463" t="s">
        <v>410</v>
      </c>
      <c r="L2" s="463"/>
      <c r="M2" s="463" t="s">
        <v>423</v>
      </c>
      <c r="N2" s="463" t="s">
        <v>423</v>
      </c>
      <c r="O2" s="463" t="s">
        <v>314</v>
      </c>
      <c r="P2" s="463"/>
      <c r="Q2" s="463" t="s">
        <v>411</v>
      </c>
    </row>
    <row r="3" spans="1:17" s="464" customFormat="1" ht="12" thickBot="1">
      <c r="A3" s="752" t="s">
        <v>412</v>
      </c>
      <c r="B3" s="752"/>
      <c r="C3" s="752"/>
      <c r="D3" s="752"/>
      <c r="E3" s="752"/>
      <c r="F3" s="752"/>
      <c r="G3" s="465" t="s">
        <v>424</v>
      </c>
      <c r="H3" s="465" t="s">
        <v>414</v>
      </c>
      <c r="I3" s="465" t="s">
        <v>417</v>
      </c>
      <c r="J3" s="465" t="s">
        <v>418</v>
      </c>
      <c r="K3" s="465" t="s">
        <v>419</v>
      </c>
      <c r="L3" s="465" t="s">
        <v>310</v>
      </c>
      <c r="M3" s="465" t="s">
        <v>315</v>
      </c>
      <c r="N3" s="465" t="s">
        <v>316</v>
      </c>
      <c r="O3" s="465" t="s">
        <v>315</v>
      </c>
      <c r="P3" s="465" t="s">
        <v>314</v>
      </c>
      <c r="Q3" s="465" t="s">
        <v>421</v>
      </c>
    </row>
    <row r="4" spans="1:17" ht="15.75">
      <c r="A4" s="404"/>
      <c r="B4" s="404"/>
      <c r="C4" s="404"/>
      <c r="D4" s="404"/>
      <c r="E4" s="462"/>
      <c r="F4" s="457" t="s">
        <v>54</v>
      </c>
      <c r="G4" s="458" t="s">
        <v>141</v>
      </c>
      <c r="H4" s="302" t="s">
        <v>142</v>
      </c>
      <c r="I4" s="459">
        <v>40893</v>
      </c>
      <c r="J4" s="267" t="s">
        <v>8</v>
      </c>
      <c r="K4" s="460">
        <v>131</v>
      </c>
      <c r="L4" s="461">
        <v>3</v>
      </c>
      <c r="M4" s="411">
        <v>2464903</v>
      </c>
      <c r="N4" s="412">
        <v>273690</v>
      </c>
      <c r="O4" s="413">
        <v>8604215</v>
      </c>
      <c r="P4" s="414" t="s">
        <v>316</v>
      </c>
      <c r="Q4" s="415">
        <v>40907</v>
      </c>
    </row>
    <row r="5" spans="1:17" ht="15.75">
      <c r="A5" s="235"/>
      <c r="B5" s="235"/>
      <c r="C5" s="235"/>
      <c r="D5" s="235"/>
      <c r="E5" s="236"/>
      <c r="F5" s="237" t="s">
        <v>54</v>
      </c>
      <c r="G5" s="395" t="s">
        <v>141</v>
      </c>
      <c r="H5" s="65" t="s">
        <v>142</v>
      </c>
      <c r="I5" s="269">
        <v>40893</v>
      </c>
      <c r="J5" s="68" t="s">
        <v>8</v>
      </c>
      <c r="K5" s="313">
        <v>131</v>
      </c>
      <c r="L5" s="260">
        <v>4</v>
      </c>
      <c r="M5" s="417">
        <v>1826075</v>
      </c>
      <c r="N5" s="418">
        <v>198737</v>
      </c>
      <c r="O5" s="419">
        <v>10430290</v>
      </c>
      <c r="P5" s="420">
        <v>1159044</v>
      </c>
      <c r="Q5" s="266">
        <v>40914</v>
      </c>
    </row>
    <row r="6" spans="1:17" ht="15.75">
      <c r="A6" s="597"/>
      <c r="B6" s="597"/>
      <c r="C6" s="597"/>
      <c r="D6" s="597"/>
      <c r="E6" s="597"/>
      <c r="F6" s="474" t="s">
        <v>54</v>
      </c>
      <c r="G6" s="238" t="s">
        <v>141</v>
      </c>
      <c r="H6" s="65" t="s">
        <v>142</v>
      </c>
      <c r="I6" s="269">
        <v>40893</v>
      </c>
      <c r="J6" s="68" t="s">
        <v>8</v>
      </c>
      <c r="K6" s="339">
        <v>131</v>
      </c>
      <c r="L6" s="340">
        <v>6</v>
      </c>
      <c r="M6" s="555">
        <v>1674165</v>
      </c>
      <c r="N6" s="556">
        <v>188583</v>
      </c>
      <c r="O6" s="341">
        <v>13641012</v>
      </c>
      <c r="P6" s="342">
        <v>1519587</v>
      </c>
      <c r="Q6" s="266">
        <v>40928</v>
      </c>
    </row>
    <row r="7" spans="1:17" ht="15.75">
      <c r="A7" s="235"/>
      <c r="B7" s="235"/>
      <c r="C7" s="235"/>
      <c r="D7" s="235"/>
      <c r="E7" s="239"/>
      <c r="F7" s="237" t="s">
        <v>54</v>
      </c>
      <c r="G7" s="397" t="s">
        <v>347</v>
      </c>
      <c r="H7" s="65" t="s">
        <v>348</v>
      </c>
      <c r="I7" s="268">
        <v>40914</v>
      </c>
      <c r="J7" s="68" t="s">
        <v>12</v>
      </c>
      <c r="K7" s="309">
        <v>204</v>
      </c>
      <c r="L7" s="263">
        <v>1</v>
      </c>
      <c r="M7" s="422">
        <v>1571916</v>
      </c>
      <c r="N7" s="423">
        <v>166869</v>
      </c>
      <c r="O7" s="424">
        <v>1571916</v>
      </c>
      <c r="P7" s="425">
        <v>166869</v>
      </c>
      <c r="Q7" s="266">
        <v>40914</v>
      </c>
    </row>
    <row r="8" spans="1:17" ht="15.75">
      <c r="A8" s="235">
        <v>2012</v>
      </c>
      <c r="B8" s="235"/>
      <c r="C8" s="235"/>
      <c r="D8" s="235"/>
      <c r="E8" s="239"/>
      <c r="F8" s="237" t="s">
        <v>54</v>
      </c>
      <c r="G8" s="240" t="s">
        <v>347</v>
      </c>
      <c r="H8" s="65" t="s">
        <v>348</v>
      </c>
      <c r="I8" s="268">
        <v>40914</v>
      </c>
      <c r="J8" s="68" t="s">
        <v>12</v>
      </c>
      <c r="K8" s="309">
        <v>204</v>
      </c>
      <c r="L8" s="263">
        <v>1</v>
      </c>
      <c r="M8" s="422">
        <v>1571916</v>
      </c>
      <c r="N8" s="423">
        <v>166869</v>
      </c>
      <c r="O8" s="424">
        <v>1571916</v>
      </c>
      <c r="P8" s="425">
        <v>166869</v>
      </c>
      <c r="Q8" s="266">
        <v>40914</v>
      </c>
    </row>
    <row r="9" spans="1:17" ht="15.75">
      <c r="A9" s="235"/>
      <c r="B9" s="235"/>
      <c r="C9" s="235"/>
      <c r="D9" s="235"/>
      <c r="E9" s="239"/>
      <c r="F9" s="237" t="s">
        <v>54</v>
      </c>
      <c r="G9" s="397" t="s">
        <v>347</v>
      </c>
      <c r="H9" s="65" t="s">
        <v>348</v>
      </c>
      <c r="I9" s="268">
        <v>40914</v>
      </c>
      <c r="J9" s="68" t="s">
        <v>12</v>
      </c>
      <c r="K9" s="325">
        <v>204</v>
      </c>
      <c r="L9" s="326">
        <v>2</v>
      </c>
      <c r="M9" s="367">
        <v>1545867</v>
      </c>
      <c r="N9" s="368">
        <v>166896</v>
      </c>
      <c r="O9" s="335">
        <v>3117783</v>
      </c>
      <c r="P9" s="336">
        <v>333765</v>
      </c>
      <c r="Q9" s="266">
        <v>40921</v>
      </c>
    </row>
    <row r="10" spans="1:17" ht="15.75">
      <c r="A10" s="235">
        <v>2012</v>
      </c>
      <c r="B10" s="235"/>
      <c r="C10" s="235"/>
      <c r="D10" s="235"/>
      <c r="E10" s="239"/>
      <c r="F10" s="237" t="s">
        <v>54</v>
      </c>
      <c r="G10" s="240" t="s">
        <v>347</v>
      </c>
      <c r="H10" s="65" t="s">
        <v>348</v>
      </c>
      <c r="I10" s="268">
        <v>40914</v>
      </c>
      <c r="J10" s="68" t="s">
        <v>12</v>
      </c>
      <c r="K10" s="325">
        <v>204</v>
      </c>
      <c r="L10" s="326">
        <v>2</v>
      </c>
      <c r="M10" s="367">
        <v>1545867</v>
      </c>
      <c r="N10" s="368">
        <v>166896</v>
      </c>
      <c r="O10" s="335">
        <v>3117783</v>
      </c>
      <c r="P10" s="336">
        <v>333765</v>
      </c>
      <c r="Q10" s="338">
        <v>40921</v>
      </c>
    </row>
    <row r="11" spans="1:17" ht="15.75">
      <c r="A11" s="235"/>
      <c r="B11" s="235"/>
      <c r="C11" s="235"/>
      <c r="D11" s="235"/>
      <c r="E11" s="236"/>
      <c r="F11" s="237" t="s">
        <v>54</v>
      </c>
      <c r="G11" s="395" t="s">
        <v>141</v>
      </c>
      <c r="H11" s="65" t="s">
        <v>142</v>
      </c>
      <c r="I11" s="269">
        <v>40893</v>
      </c>
      <c r="J11" s="68" t="s">
        <v>8</v>
      </c>
      <c r="K11" s="339">
        <v>131</v>
      </c>
      <c r="L11" s="340">
        <v>5</v>
      </c>
      <c r="M11" s="369">
        <v>1536557</v>
      </c>
      <c r="N11" s="370">
        <v>171960</v>
      </c>
      <c r="O11" s="343">
        <v>11382284</v>
      </c>
      <c r="P11" s="348">
        <v>1257533</v>
      </c>
      <c r="Q11" s="266">
        <v>40921</v>
      </c>
    </row>
    <row r="12" spans="1:17" ht="15.75">
      <c r="A12" s="235">
        <v>2012</v>
      </c>
      <c r="B12" s="597"/>
      <c r="C12" s="597"/>
      <c r="D12" s="597"/>
      <c r="E12" s="597"/>
      <c r="F12" s="474" t="s">
        <v>54</v>
      </c>
      <c r="G12" s="240" t="s">
        <v>347</v>
      </c>
      <c r="H12" s="65" t="s">
        <v>348</v>
      </c>
      <c r="I12" s="268">
        <v>40914</v>
      </c>
      <c r="J12" s="68" t="s">
        <v>12</v>
      </c>
      <c r="K12" s="325">
        <v>204</v>
      </c>
      <c r="L12" s="326">
        <v>3</v>
      </c>
      <c r="M12" s="367">
        <v>1163723</v>
      </c>
      <c r="N12" s="368">
        <v>122619</v>
      </c>
      <c r="O12" s="333">
        <v>4281506</v>
      </c>
      <c r="P12" s="334">
        <v>456384</v>
      </c>
      <c r="Q12" s="266">
        <v>40928</v>
      </c>
    </row>
    <row r="13" spans="1:17" ht="15.75">
      <c r="A13" s="248"/>
      <c r="B13" s="248"/>
      <c r="C13" s="248"/>
      <c r="D13" s="248"/>
      <c r="E13" s="247"/>
      <c r="F13" s="237" t="s">
        <v>54</v>
      </c>
      <c r="G13" s="433" t="s">
        <v>151</v>
      </c>
      <c r="H13" s="65" t="s">
        <v>218</v>
      </c>
      <c r="I13" s="268">
        <v>40900</v>
      </c>
      <c r="J13" s="68" t="s">
        <v>68</v>
      </c>
      <c r="K13" s="325">
        <v>197</v>
      </c>
      <c r="L13" s="326">
        <v>2</v>
      </c>
      <c r="M13" s="371">
        <v>656291</v>
      </c>
      <c r="N13" s="372">
        <v>73110</v>
      </c>
      <c r="O13" s="343">
        <f>985836.5+656291</f>
        <v>1642127.5</v>
      </c>
      <c r="P13" s="348">
        <f>106718+73110</f>
        <v>179828</v>
      </c>
      <c r="Q13" s="421">
        <v>40907</v>
      </c>
    </row>
    <row r="14" spans="1:17" ht="15.75">
      <c r="A14" s="235"/>
      <c r="B14" s="235"/>
      <c r="C14" s="235"/>
      <c r="D14" s="248"/>
      <c r="E14" s="239"/>
      <c r="F14" s="237" t="s">
        <v>54</v>
      </c>
      <c r="G14" s="433" t="s">
        <v>151</v>
      </c>
      <c r="H14" s="65" t="s">
        <v>218</v>
      </c>
      <c r="I14" s="268">
        <v>40900</v>
      </c>
      <c r="J14" s="68" t="s">
        <v>68</v>
      </c>
      <c r="K14" s="309">
        <v>197</v>
      </c>
      <c r="L14" s="416">
        <v>3</v>
      </c>
      <c r="M14" s="417">
        <v>454728.5</v>
      </c>
      <c r="N14" s="418">
        <v>50608</v>
      </c>
      <c r="O14" s="419">
        <f>985836.5+657011.5+454728.5</f>
        <v>2097576.5</v>
      </c>
      <c r="P14" s="420">
        <f>106718+73176+50608</f>
        <v>230502</v>
      </c>
      <c r="Q14" s="266">
        <v>40914</v>
      </c>
    </row>
    <row r="15" spans="1:17" ht="15.75">
      <c r="A15" s="248"/>
      <c r="B15" s="248"/>
      <c r="C15" s="248"/>
      <c r="D15" s="248"/>
      <c r="E15" s="451"/>
      <c r="F15" s="237" t="s">
        <v>54</v>
      </c>
      <c r="G15" s="435" t="s">
        <v>104</v>
      </c>
      <c r="H15" s="65" t="s">
        <v>105</v>
      </c>
      <c r="I15" s="269">
        <v>40872</v>
      </c>
      <c r="J15" s="68" t="s">
        <v>10</v>
      </c>
      <c r="K15" s="325">
        <v>277</v>
      </c>
      <c r="L15" s="344">
        <v>6</v>
      </c>
      <c r="M15" s="371">
        <v>441941</v>
      </c>
      <c r="N15" s="372">
        <v>49345</v>
      </c>
      <c r="O15" s="343">
        <v>10697295</v>
      </c>
      <c r="P15" s="348">
        <v>1139680</v>
      </c>
      <c r="Q15" s="421">
        <v>40907</v>
      </c>
    </row>
    <row r="16" spans="1:17" ht="15.75">
      <c r="A16" s="235">
        <v>2012</v>
      </c>
      <c r="B16" s="235"/>
      <c r="C16" s="235"/>
      <c r="D16" s="235"/>
      <c r="E16" s="239"/>
      <c r="F16" s="237" t="s">
        <v>54</v>
      </c>
      <c r="G16" s="379" t="s">
        <v>381</v>
      </c>
      <c r="H16" s="68" t="s">
        <v>382</v>
      </c>
      <c r="I16" s="268">
        <v>40921</v>
      </c>
      <c r="J16" s="68" t="s">
        <v>52</v>
      </c>
      <c r="K16" s="325">
        <v>49</v>
      </c>
      <c r="L16" s="344">
        <v>1</v>
      </c>
      <c r="M16" s="373">
        <v>357713</v>
      </c>
      <c r="N16" s="374">
        <v>33400</v>
      </c>
      <c r="O16" s="349">
        <v>357713</v>
      </c>
      <c r="P16" s="334">
        <v>33400</v>
      </c>
      <c r="Q16" s="338">
        <v>40921</v>
      </c>
    </row>
    <row r="17" spans="1:17" ht="15.75">
      <c r="A17" s="235">
        <v>2012</v>
      </c>
      <c r="B17" s="597"/>
      <c r="C17" s="597"/>
      <c r="D17" s="597"/>
      <c r="E17" s="597"/>
      <c r="F17" s="474" t="s">
        <v>54</v>
      </c>
      <c r="G17" s="379" t="s">
        <v>381</v>
      </c>
      <c r="H17" s="68" t="s">
        <v>382</v>
      </c>
      <c r="I17" s="268">
        <v>40921</v>
      </c>
      <c r="J17" s="68" t="s">
        <v>52</v>
      </c>
      <c r="K17" s="325">
        <v>49</v>
      </c>
      <c r="L17" s="344">
        <v>2</v>
      </c>
      <c r="M17" s="553">
        <v>343246.5</v>
      </c>
      <c r="N17" s="554">
        <v>31498</v>
      </c>
      <c r="O17" s="505">
        <f>357713+343246.5</f>
        <v>700959.5</v>
      </c>
      <c r="P17" s="334">
        <f>33400+31498</f>
        <v>64898</v>
      </c>
      <c r="Q17" s="266">
        <v>40928</v>
      </c>
    </row>
    <row r="18" spans="1:17" ht="15.75">
      <c r="A18" s="441"/>
      <c r="B18" s="441"/>
      <c r="C18" s="248"/>
      <c r="D18" s="441"/>
      <c r="E18" s="453"/>
      <c r="F18" s="237" t="s">
        <v>54</v>
      </c>
      <c r="G18" s="433" t="s">
        <v>107</v>
      </c>
      <c r="H18" s="67" t="s">
        <v>123</v>
      </c>
      <c r="I18" s="268">
        <v>40879</v>
      </c>
      <c r="J18" s="68" t="s">
        <v>68</v>
      </c>
      <c r="K18" s="325">
        <v>202</v>
      </c>
      <c r="L18" s="326">
        <v>5</v>
      </c>
      <c r="M18" s="371">
        <v>299977</v>
      </c>
      <c r="N18" s="372">
        <v>39696</v>
      </c>
      <c r="O18" s="343">
        <f>1080241.5+1088121+871543+502064+299977</f>
        <v>3841946.5</v>
      </c>
      <c r="P18" s="348">
        <f>121812+123965+100674+61096+39696</f>
        <v>447243</v>
      </c>
      <c r="Q18" s="421">
        <v>40907</v>
      </c>
    </row>
    <row r="19" spans="1:17" ht="15.75">
      <c r="A19" s="250"/>
      <c r="B19" s="250"/>
      <c r="C19" s="235"/>
      <c r="D19" s="250"/>
      <c r="E19" s="239"/>
      <c r="F19" s="237" t="s">
        <v>54</v>
      </c>
      <c r="G19" s="395" t="s">
        <v>337</v>
      </c>
      <c r="H19" s="70" t="s">
        <v>339</v>
      </c>
      <c r="I19" s="268">
        <v>40914</v>
      </c>
      <c r="J19" s="68" t="s">
        <v>53</v>
      </c>
      <c r="K19" s="312">
        <v>97</v>
      </c>
      <c r="L19" s="429">
        <v>1</v>
      </c>
      <c r="M19" s="430">
        <v>216520</v>
      </c>
      <c r="N19" s="423">
        <v>26831</v>
      </c>
      <c r="O19" s="431">
        <f>216520</f>
        <v>216520</v>
      </c>
      <c r="P19" s="425">
        <f>26831</f>
        <v>26831</v>
      </c>
      <c r="Q19" s="266">
        <v>40914</v>
      </c>
    </row>
    <row r="20" spans="1:17" ht="15.75">
      <c r="A20" s="235">
        <v>2012</v>
      </c>
      <c r="B20" s="250"/>
      <c r="C20" s="235"/>
      <c r="D20" s="250"/>
      <c r="E20" s="239"/>
      <c r="F20" s="237" t="s">
        <v>54</v>
      </c>
      <c r="G20" s="238" t="s">
        <v>337</v>
      </c>
      <c r="H20" s="70" t="s">
        <v>339</v>
      </c>
      <c r="I20" s="268">
        <v>40914</v>
      </c>
      <c r="J20" s="68" t="s">
        <v>53</v>
      </c>
      <c r="K20" s="312">
        <v>97</v>
      </c>
      <c r="L20" s="429">
        <v>1</v>
      </c>
      <c r="M20" s="430">
        <v>216520</v>
      </c>
      <c r="N20" s="423">
        <v>26831</v>
      </c>
      <c r="O20" s="431">
        <f>216520</f>
        <v>216520</v>
      </c>
      <c r="P20" s="425">
        <f>26831</f>
        <v>26831</v>
      </c>
      <c r="Q20" s="266">
        <v>40914</v>
      </c>
    </row>
    <row r="21" spans="1:17" ht="15.75">
      <c r="A21" s="235"/>
      <c r="B21" s="235"/>
      <c r="C21" s="235"/>
      <c r="D21" s="248"/>
      <c r="E21" s="239"/>
      <c r="F21" s="237" t="s">
        <v>54</v>
      </c>
      <c r="G21" s="433" t="s">
        <v>151</v>
      </c>
      <c r="H21" s="65" t="s">
        <v>218</v>
      </c>
      <c r="I21" s="268">
        <v>40900</v>
      </c>
      <c r="J21" s="68" t="s">
        <v>68</v>
      </c>
      <c r="K21" s="325">
        <v>197</v>
      </c>
      <c r="L21" s="326">
        <v>4</v>
      </c>
      <c r="M21" s="371">
        <v>206447</v>
      </c>
      <c r="N21" s="372">
        <v>29112</v>
      </c>
      <c r="O21" s="343">
        <f>985836.5+657011.5+454728.5+206447</f>
        <v>2304023.5</v>
      </c>
      <c r="P21" s="348">
        <f>106718+73176+50608+29112</f>
        <v>259614</v>
      </c>
      <c r="Q21" s="266">
        <v>40921</v>
      </c>
    </row>
    <row r="22" spans="1:17" ht="15.75">
      <c r="A22" s="250"/>
      <c r="B22" s="250"/>
      <c r="C22" s="235"/>
      <c r="D22" s="250"/>
      <c r="E22" s="239"/>
      <c r="F22" s="237" t="s">
        <v>54</v>
      </c>
      <c r="G22" s="395" t="s">
        <v>337</v>
      </c>
      <c r="H22" s="70" t="s">
        <v>339</v>
      </c>
      <c r="I22" s="268">
        <v>40914</v>
      </c>
      <c r="J22" s="68" t="s">
        <v>53</v>
      </c>
      <c r="K22" s="352">
        <v>97</v>
      </c>
      <c r="L22" s="353">
        <v>2</v>
      </c>
      <c r="M22" s="367">
        <v>198358.5</v>
      </c>
      <c r="N22" s="368">
        <v>25025</v>
      </c>
      <c r="O22" s="354">
        <f>216520+198358.5</f>
        <v>414878.5</v>
      </c>
      <c r="P22" s="355">
        <f>26831+25025</f>
        <v>51856</v>
      </c>
      <c r="Q22" s="266">
        <v>40921</v>
      </c>
    </row>
    <row r="23" spans="1:17" ht="15.75">
      <c r="A23" s="235">
        <v>2012</v>
      </c>
      <c r="B23" s="250"/>
      <c r="C23" s="235"/>
      <c r="D23" s="250"/>
      <c r="E23" s="239"/>
      <c r="F23" s="237" t="s">
        <v>54</v>
      </c>
      <c r="G23" s="238" t="s">
        <v>337</v>
      </c>
      <c r="H23" s="70" t="s">
        <v>339</v>
      </c>
      <c r="I23" s="268">
        <v>40914</v>
      </c>
      <c r="J23" s="68" t="s">
        <v>53</v>
      </c>
      <c r="K23" s="352">
        <v>97</v>
      </c>
      <c r="L23" s="353">
        <v>2</v>
      </c>
      <c r="M23" s="367">
        <v>198358.5</v>
      </c>
      <c r="N23" s="368">
        <v>25025</v>
      </c>
      <c r="O23" s="354">
        <f>216520+198358.5</f>
        <v>414878.5</v>
      </c>
      <c r="P23" s="355">
        <f>26831+25025</f>
        <v>51856</v>
      </c>
      <c r="Q23" s="338">
        <v>40921</v>
      </c>
    </row>
    <row r="24" spans="1:17" ht="15.75">
      <c r="A24" s="441"/>
      <c r="B24" s="441"/>
      <c r="C24" s="248"/>
      <c r="D24" s="242" t="s">
        <v>292</v>
      </c>
      <c r="E24" s="247"/>
      <c r="F24" s="237" t="s">
        <v>54</v>
      </c>
      <c r="G24" s="440" t="s">
        <v>110</v>
      </c>
      <c r="H24" s="65" t="s">
        <v>113</v>
      </c>
      <c r="I24" s="268">
        <v>40879</v>
      </c>
      <c r="J24" s="68" t="s">
        <v>53</v>
      </c>
      <c r="K24" s="325">
        <v>135</v>
      </c>
      <c r="L24" s="353">
        <v>5</v>
      </c>
      <c r="M24" s="427">
        <v>197271.5</v>
      </c>
      <c r="N24" s="428">
        <v>25625</v>
      </c>
      <c r="O24" s="354">
        <f>1709882.25+1194489.75+708906.5+376327+70+197271.5</f>
        <v>4186947</v>
      </c>
      <c r="P24" s="355">
        <f>195314+135261+80447+45395+10+25625</f>
        <v>482052</v>
      </c>
      <c r="Q24" s="421">
        <v>40907</v>
      </c>
    </row>
    <row r="25" spans="1:17" ht="15.75">
      <c r="A25" s="259"/>
      <c r="B25" s="259"/>
      <c r="C25" s="248"/>
      <c r="D25" s="259"/>
      <c r="E25" s="246" t="s">
        <v>55</v>
      </c>
      <c r="F25" s="237" t="s">
        <v>54</v>
      </c>
      <c r="G25" s="426" t="s">
        <v>74</v>
      </c>
      <c r="H25" s="71" t="s">
        <v>80</v>
      </c>
      <c r="I25" s="268">
        <v>40851</v>
      </c>
      <c r="J25" s="68" t="s">
        <v>53</v>
      </c>
      <c r="K25" s="339">
        <v>247</v>
      </c>
      <c r="L25" s="353">
        <v>9</v>
      </c>
      <c r="M25" s="427">
        <v>184428</v>
      </c>
      <c r="N25" s="428">
        <v>33224</v>
      </c>
      <c r="O25" s="354">
        <f>2260223+2366876.75+3859638+3137342+1906742.5+252.25+1189485.5+474275+250512+184428</f>
        <v>15629775</v>
      </c>
      <c r="P25" s="355">
        <f>286038+329194+554088+452220+278080+42+178270+68355+40409+33224</f>
        <v>2219920</v>
      </c>
      <c r="Q25" s="421">
        <v>40907</v>
      </c>
    </row>
    <row r="26" spans="1:17" ht="15.75">
      <c r="A26" s="235">
        <v>2012</v>
      </c>
      <c r="B26" s="597"/>
      <c r="C26" s="597"/>
      <c r="D26" s="597"/>
      <c r="E26" s="597"/>
      <c r="F26" s="474" t="s">
        <v>54</v>
      </c>
      <c r="G26" s="238" t="s">
        <v>337</v>
      </c>
      <c r="H26" s="70" t="s">
        <v>339</v>
      </c>
      <c r="I26" s="268">
        <v>40914</v>
      </c>
      <c r="J26" s="68" t="s">
        <v>53</v>
      </c>
      <c r="K26" s="352">
        <v>97</v>
      </c>
      <c r="L26" s="510">
        <v>3</v>
      </c>
      <c r="M26" s="367">
        <v>149589.5</v>
      </c>
      <c r="N26" s="368">
        <v>19383</v>
      </c>
      <c r="O26" s="333">
        <f>216520+198358.5+149589.5</f>
        <v>564468</v>
      </c>
      <c r="P26" s="334">
        <f>26831+25025+19383</f>
        <v>71239</v>
      </c>
      <c r="Q26" s="266">
        <v>40928</v>
      </c>
    </row>
    <row r="27" spans="1:17" ht="15.75">
      <c r="A27" s="251"/>
      <c r="B27" s="251"/>
      <c r="C27" s="235"/>
      <c r="D27" s="251"/>
      <c r="E27" s="252"/>
      <c r="F27" s="237" t="s">
        <v>54</v>
      </c>
      <c r="G27" s="433" t="s">
        <v>107</v>
      </c>
      <c r="H27" s="67" t="s">
        <v>123</v>
      </c>
      <c r="I27" s="268">
        <v>40879</v>
      </c>
      <c r="J27" s="68" t="s">
        <v>68</v>
      </c>
      <c r="K27" s="309">
        <v>202</v>
      </c>
      <c r="L27" s="416">
        <v>6</v>
      </c>
      <c r="M27" s="417">
        <v>131358.5</v>
      </c>
      <c r="N27" s="418">
        <v>19116</v>
      </c>
      <c r="O27" s="419">
        <f>1080241.5+1088121+871543+502064+300294.5+131358.5</f>
        <v>3973622.5</v>
      </c>
      <c r="P27" s="420">
        <f>121812+123965+100674+61096+39726+19116</f>
        <v>466389</v>
      </c>
      <c r="Q27" s="266">
        <v>40914</v>
      </c>
    </row>
    <row r="28" spans="1:17" ht="15.75">
      <c r="A28" s="235"/>
      <c r="B28" s="235"/>
      <c r="C28" s="235"/>
      <c r="D28" s="235"/>
      <c r="E28" s="236"/>
      <c r="F28" s="237" t="s">
        <v>54</v>
      </c>
      <c r="G28" s="397" t="s">
        <v>104</v>
      </c>
      <c r="H28" s="65" t="s">
        <v>105</v>
      </c>
      <c r="I28" s="269">
        <v>40872</v>
      </c>
      <c r="J28" s="68" t="s">
        <v>10</v>
      </c>
      <c r="K28" s="309">
        <v>277</v>
      </c>
      <c r="L28" s="264">
        <v>7</v>
      </c>
      <c r="M28" s="417">
        <f>129529+680</f>
        <v>130209</v>
      </c>
      <c r="N28" s="418">
        <f>15613+55</f>
        <v>15668</v>
      </c>
      <c r="O28" s="419">
        <f>10697295+129529+680</f>
        <v>10827504</v>
      </c>
      <c r="P28" s="420">
        <f>1139680+15613+55</f>
        <v>1155348</v>
      </c>
      <c r="Q28" s="266">
        <v>40914</v>
      </c>
    </row>
    <row r="29" spans="1:17" ht="15.75">
      <c r="A29" s="251"/>
      <c r="B29" s="251"/>
      <c r="C29" s="235"/>
      <c r="D29" s="251"/>
      <c r="E29" s="252"/>
      <c r="F29" s="237" t="s">
        <v>54</v>
      </c>
      <c r="G29" s="433" t="s">
        <v>107</v>
      </c>
      <c r="H29" s="67" t="s">
        <v>123</v>
      </c>
      <c r="I29" s="268">
        <v>40879</v>
      </c>
      <c r="J29" s="68" t="s">
        <v>68</v>
      </c>
      <c r="K29" s="325">
        <v>202</v>
      </c>
      <c r="L29" s="326">
        <v>7</v>
      </c>
      <c r="M29" s="371">
        <v>96969.5</v>
      </c>
      <c r="N29" s="372">
        <v>14898</v>
      </c>
      <c r="O29" s="343">
        <f>1080241.5+1088121+871543+502064+300294.5+131358.5+96969.5</f>
        <v>4070592</v>
      </c>
      <c r="P29" s="348">
        <f>121812+123965+100674+61096+39726+19116+14898</f>
        <v>481287</v>
      </c>
      <c r="Q29" s="266">
        <v>40921</v>
      </c>
    </row>
    <row r="30" spans="1:17" ht="15.75">
      <c r="A30" s="251"/>
      <c r="B30" s="251"/>
      <c r="C30" s="235"/>
      <c r="D30" s="242" t="s">
        <v>292</v>
      </c>
      <c r="E30" s="247"/>
      <c r="F30" s="237" t="s">
        <v>54</v>
      </c>
      <c r="G30" s="440" t="s">
        <v>110</v>
      </c>
      <c r="H30" s="65" t="s">
        <v>113</v>
      </c>
      <c r="I30" s="268">
        <v>40879</v>
      </c>
      <c r="J30" s="68" t="s">
        <v>53</v>
      </c>
      <c r="K30" s="309">
        <v>135</v>
      </c>
      <c r="L30" s="429">
        <v>6</v>
      </c>
      <c r="M30" s="430">
        <v>73341.5</v>
      </c>
      <c r="N30" s="423">
        <v>10302</v>
      </c>
      <c r="O30" s="431">
        <f>1709882.25+1194489.75+708906.5+376327+70+197271.5+73341.5</f>
        <v>4260288.5</v>
      </c>
      <c r="P30" s="425">
        <f>195314+135261+80447+45395+10+25625+10302</f>
        <v>492354</v>
      </c>
      <c r="Q30" s="266">
        <v>40914</v>
      </c>
    </row>
    <row r="31" spans="1:17" ht="15.75">
      <c r="A31" s="597"/>
      <c r="B31" s="597"/>
      <c r="C31" s="597"/>
      <c r="D31" s="597"/>
      <c r="E31" s="597"/>
      <c r="F31" s="474" t="s">
        <v>54</v>
      </c>
      <c r="G31" s="243" t="s">
        <v>151</v>
      </c>
      <c r="H31" s="65" t="s">
        <v>218</v>
      </c>
      <c r="I31" s="268">
        <v>40900</v>
      </c>
      <c r="J31" s="68" t="s">
        <v>68</v>
      </c>
      <c r="K31" s="325">
        <v>197</v>
      </c>
      <c r="L31" s="326">
        <v>5</v>
      </c>
      <c r="M31" s="371">
        <v>72029</v>
      </c>
      <c r="N31" s="372">
        <v>10776</v>
      </c>
      <c r="O31" s="343">
        <f>985836.5+657011.5+454728.5+206461+72029</f>
        <v>2376066.5</v>
      </c>
      <c r="P31" s="348">
        <f>106718+73176+50608+29114+10776</f>
        <v>270392</v>
      </c>
      <c r="Q31" s="266">
        <v>40928</v>
      </c>
    </row>
    <row r="32" spans="1:17" ht="15.75">
      <c r="A32" s="251"/>
      <c r="B32" s="251"/>
      <c r="C32" s="235"/>
      <c r="D32" s="242" t="s">
        <v>292</v>
      </c>
      <c r="E32" s="247"/>
      <c r="F32" s="237" t="s">
        <v>54</v>
      </c>
      <c r="G32" s="440" t="s">
        <v>110</v>
      </c>
      <c r="H32" s="65" t="s">
        <v>113</v>
      </c>
      <c r="I32" s="268">
        <v>40879</v>
      </c>
      <c r="J32" s="68" t="s">
        <v>53</v>
      </c>
      <c r="K32" s="325">
        <v>135</v>
      </c>
      <c r="L32" s="353">
        <v>7</v>
      </c>
      <c r="M32" s="367">
        <v>70692.5</v>
      </c>
      <c r="N32" s="368">
        <v>10950</v>
      </c>
      <c r="O32" s="354">
        <f>1709882.25+1194489.75+708906.5+376327+70+197271.5+73341.5+70692.5</f>
        <v>4330981</v>
      </c>
      <c r="P32" s="355">
        <f>195314+135261+80447+45395+10+25625+10302+10950</f>
        <v>503304</v>
      </c>
      <c r="Q32" s="266">
        <v>40921</v>
      </c>
    </row>
    <row r="33" spans="1:17" ht="15.75">
      <c r="A33" s="597"/>
      <c r="B33" s="597"/>
      <c r="C33" s="597"/>
      <c r="D33" s="597"/>
      <c r="E33" s="597"/>
      <c r="F33" s="474" t="s">
        <v>54</v>
      </c>
      <c r="G33" s="243" t="s">
        <v>107</v>
      </c>
      <c r="H33" s="67" t="s">
        <v>123</v>
      </c>
      <c r="I33" s="268">
        <v>40879</v>
      </c>
      <c r="J33" s="68" t="s">
        <v>68</v>
      </c>
      <c r="K33" s="325">
        <v>202</v>
      </c>
      <c r="L33" s="326">
        <v>8</v>
      </c>
      <c r="M33" s="371">
        <v>68985</v>
      </c>
      <c r="N33" s="372">
        <v>10338</v>
      </c>
      <c r="O33" s="343">
        <f>1080241.5+1088121+871543+502064+300294.5+131358.5+96969.5+68985</f>
        <v>4139577</v>
      </c>
      <c r="P33" s="348">
        <f>121812+123965+100674+61096+39726+19116+14898+10338</f>
        <v>491625</v>
      </c>
      <c r="Q33" s="266">
        <v>40928</v>
      </c>
    </row>
    <row r="34" spans="1:17" ht="15.75">
      <c r="A34" s="235"/>
      <c r="B34" s="235"/>
      <c r="C34" s="235"/>
      <c r="D34" s="235"/>
      <c r="E34" s="236"/>
      <c r="F34" s="237" t="s">
        <v>54</v>
      </c>
      <c r="G34" s="397" t="s">
        <v>104</v>
      </c>
      <c r="H34" s="65" t="s">
        <v>105</v>
      </c>
      <c r="I34" s="269">
        <v>40872</v>
      </c>
      <c r="J34" s="68" t="s">
        <v>10</v>
      </c>
      <c r="K34" s="325">
        <v>277</v>
      </c>
      <c r="L34" s="344">
        <v>8</v>
      </c>
      <c r="M34" s="371">
        <v>64482</v>
      </c>
      <c r="N34" s="372">
        <v>7909</v>
      </c>
      <c r="O34" s="343">
        <v>10891986</v>
      </c>
      <c r="P34" s="348">
        <v>1163257</v>
      </c>
      <c r="Q34" s="266">
        <v>40921</v>
      </c>
    </row>
    <row r="35" spans="1:17" ht="15.75">
      <c r="A35" s="597"/>
      <c r="B35" s="597"/>
      <c r="C35" s="597"/>
      <c r="D35" s="242" t="s">
        <v>292</v>
      </c>
      <c r="E35" s="597"/>
      <c r="F35" s="474" t="s">
        <v>54</v>
      </c>
      <c r="G35" s="253" t="s">
        <v>110</v>
      </c>
      <c r="H35" s="65" t="s">
        <v>113</v>
      </c>
      <c r="I35" s="268">
        <v>40879</v>
      </c>
      <c r="J35" s="68" t="s">
        <v>53</v>
      </c>
      <c r="K35" s="325">
        <v>135</v>
      </c>
      <c r="L35" s="510">
        <v>8</v>
      </c>
      <c r="M35" s="367">
        <v>50480.5</v>
      </c>
      <c r="N35" s="368">
        <v>7727</v>
      </c>
      <c r="O35" s="333">
        <f>1709882.25+1194489.75+708906.5+376327+70+197271.5+73341.5+70692.5+50480.5</f>
        <v>4381461.5</v>
      </c>
      <c r="P35" s="334">
        <f>195314+135261+80447+45395+10+25625+10302+10950+7727</f>
        <v>511031</v>
      </c>
      <c r="Q35" s="266">
        <v>40928</v>
      </c>
    </row>
    <row r="36" spans="1:17" ht="15.75">
      <c r="A36" s="597"/>
      <c r="B36" s="597"/>
      <c r="C36" s="597"/>
      <c r="D36" s="597"/>
      <c r="E36" s="597"/>
      <c r="F36" s="474" t="s">
        <v>54</v>
      </c>
      <c r="G36" s="240" t="s">
        <v>104</v>
      </c>
      <c r="H36" s="65" t="s">
        <v>105</v>
      </c>
      <c r="I36" s="269">
        <v>40872</v>
      </c>
      <c r="J36" s="68" t="s">
        <v>10</v>
      </c>
      <c r="K36" s="325">
        <v>277</v>
      </c>
      <c r="L36" s="344">
        <v>9</v>
      </c>
      <c r="M36" s="555">
        <v>39245</v>
      </c>
      <c r="N36" s="556">
        <v>5888</v>
      </c>
      <c r="O36" s="341">
        <v>10931231</v>
      </c>
      <c r="P36" s="342">
        <v>1169145</v>
      </c>
      <c r="Q36" s="266">
        <v>40928</v>
      </c>
    </row>
    <row r="37" spans="1:17" ht="15.75">
      <c r="A37" s="251"/>
      <c r="B37" s="251"/>
      <c r="C37" s="248"/>
      <c r="D37" s="251"/>
      <c r="E37" s="234"/>
      <c r="F37" s="237" t="s">
        <v>54</v>
      </c>
      <c r="G37" s="435" t="s">
        <v>120</v>
      </c>
      <c r="H37" s="65" t="s">
        <v>122</v>
      </c>
      <c r="I37" s="268">
        <v>40886</v>
      </c>
      <c r="J37" s="68" t="s">
        <v>121</v>
      </c>
      <c r="K37" s="325">
        <v>82</v>
      </c>
      <c r="L37" s="344">
        <v>4</v>
      </c>
      <c r="M37" s="377">
        <v>27702.5</v>
      </c>
      <c r="N37" s="378">
        <v>3949</v>
      </c>
      <c r="O37" s="358">
        <v>629561</v>
      </c>
      <c r="P37" s="359">
        <v>71923</v>
      </c>
      <c r="Q37" s="421">
        <v>40907</v>
      </c>
    </row>
    <row r="38" spans="1:17" ht="15.75">
      <c r="A38" s="248"/>
      <c r="B38" s="248"/>
      <c r="C38" s="248"/>
      <c r="D38" s="248"/>
      <c r="E38" s="234"/>
      <c r="F38" s="237" t="s">
        <v>54</v>
      </c>
      <c r="G38" s="433" t="s">
        <v>115</v>
      </c>
      <c r="H38" s="65" t="s">
        <v>116</v>
      </c>
      <c r="I38" s="268">
        <v>40886</v>
      </c>
      <c r="J38" s="68" t="s">
        <v>12</v>
      </c>
      <c r="K38" s="325">
        <v>161</v>
      </c>
      <c r="L38" s="326">
        <v>4</v>
      </c>
      <c r="M38" s="443">
        <v>23157</v>
      </c>
      <c r="N38" s="444">
        <v>3682</v>
      </c>
      <c r="O38" s="335">
        <v>853031</v>
      </c>
      <c r="P38" s="336">
        <v>102752</v>
      </c>
      <c r="Q38" s="421">
        <v>40907</v>
      </c>
    </row>
    <row r="39" spans="1:17" ht="15.75">
      <c r="A39" s="248"/>
      <c r="B39" s="248"/>
      <c r="C39" s="248"/>
      <c r="D39" s="248"/>
      <c r="E39" s="247"/>
      <c r="F39" s="237" t="s">
        <v>54</v>
      </c>
      <c r="G39" s="433" t="s">
        <v>143</v>
      </c>
      <c r="H39" s="65" t="s">
        <v>127</v>
      </c>
      <c r="I39" s="268">
        <v>40893</v>
      </c>
      <c r="J39" s="68" t="s">
        <v>68</v>
      </c>
      <c r="K39" s="325">
        <v>23</v>
      </c>
      <c r="L39" s="326">
        <v>3</v>
      </c>
      <c r="M39" s="371">
        <v>20298.5</v>
      </c>
      <c r="N39" s="372">
        <v>2691</v>
      </c>
      <c r="O39" s="343">
        <f>53228.5+28585+20298.5</f>
        <v>102112</v>
      </c>
      <c r="P39" s="348">
        <f>6440+3537+2691</f>
        <v>12668</v>
      </c>
      <c r="Q39" s="421">
        <v>40907</v>
      </c>
    </row>
    <row r="40" spans="1:17" ht="15.75">
      <c r="A40" s="248"/>
      <c r="B40" s="248"/>
      <c r="C40" s="248"/>
      <c r="D40" s="248"/>
      <c r="E40" s="247"/>
      <c r="F40" s="237" t="s">
        <v>54</v>
      </c>
      <c r="G40" s="426" t="s">
        <v>148</v>
      </c>
      <c r="H40" s="68" t="s">
        <v>112</v>
      </c>
      <c r="I40" s="268">
        <v>40900</v>
      </c>
      <c r="J40" s="68" t="s">
        <v>52</v>
      </c>
      <c r="K40" s="356">
        <v>14</v>
      </c>
      <c r="L40" s="344">
        <v>2</v>
      </c>
      <c r="M40" s="449">
        <v>19458.5</v>
      </c>
      <c r="N40" s="450">
        <v>1850</v>
      </c>
      <c r="O40" s="330">
        <f>43848.5+19458.5</f>
        <v>63307</v>
      </c>
      <c r="P40" s="334">
        <f>3764+1850</f>
        <v>5614</v>
      </c>
      <c r="Q40" s="421">
        <v>40907</v>
      </c>
    </row>
    <row r="41" spans="1:17" ht="15.75">
      <c r="A41" s="597"/>
      <c r="B41" s="597"/>
      <c r="C41" s="597"/>
      <c r="D41" s="597"/>
      <c r="E41" s="597"/>
      <c r="F41" s="474" t="s">
        <v>54</v>
      </c>
      <c r="G41" s="243" t="s">
        <v>67</v>
      </c>
      <c r="H41" s="67" t="s">
        <v>85</v>
      </c>
      <c r="I41" s="268">
        <v>40844</v>
      </c>
      <c r="J41" s="68" t="s">
        <v>68</v>
      </c>
      <c r="K41" s="325">
        <v>278</v>
      </c>
      <c r="L41" s="326">
        <v>13</v>
      </c>
      <c r="M41" s="371">
        <v>17226.5</v>
      </c>
      <c r="N41" s="372">
        <v>2090</v>
      </c>
      <c r="O41" s="343">
        <f>2021467.25+4147826.75+1641146.5+1086471.5+837723.5+353523.5+115157+12431.5+1554+13261.5+3397.5+17222.5+17226.5</f>
        <v>10268409.5</v>
      </c>
      <c r="P41" s="348">
        <f>231121+459388+190384+130345+104513+46481+14878+1830+250+1860+737+1888+2090</f>
        <v>1185765</v>
      </c>
      <c r="Q41" s="266">
        <v>40928</v>
      </c>
    </row>
    <row r="42" spans="1:17" ht="15.75">
      <c r="A42" s="235"/>
      <c r="B42" s="235"/>
      <c r="C42" s="235"/>
      <c r="D42" s="235"/>
      <c r="E42" s="239"/>
      <c r="F42" s="237" t="s">
        <v>54</v>
      </c>
      <c r="G42" s="433" t="s">
        <v>67</v>
      </c>
      <c r="H42" s="67" t="s">
        <v>85</v>
      </c>
      <c r="I42" s="268">
        <v>40844</v>
      </c>
      <c r="J42" s="68" t="s">
        <v>68</v>
      </c>
      <c r="K42" s="325">
        <v>278</v>
      </c>
      <c r="L42" s="326">
        <v>12</v>
      </c>
      <c r="M42" s="371">
        <v>17222.5</v>
      </c>
      <c r="N42" s="372">
        <v>1888</v>
      </c>
      <c r="O42" s="343">
        <f>2021467.25+4147826.75+1641146.5+1086471.5+837723.5+353523.5+115157+12431.5+1554+13261.5+3397.5+17222.5</f>
        <v>10251183</v>
      </c>
      <c r="P42" s="348">
        <f>231121+459388+190384+130345+104513+46481+14878+1830+250+1860+737+1888</f>
        <v>1183675</v>
      </c>
      <c r="Q42" s="266">
        <v>40921</v>
      </c>
    </row>
    <row r="43" spans="1:17" ht="15.75">
      <c r="A43" s="248"/>
      <c r="B43" s="248"/>
      <c r="C43" s="248"/>
      <c r="D43" s="248"/>
      <c r="E43" s="247"/>
      <c r="F43" s="237" t="s">
        <v>54</v>
      </c>
      <c r="G43" s="433" t="s">
        <v>67</v>
      </c>
      <c r="H43" s="67" t="s">
        <v>85</v>
      </c>
      <c r="I43" s="268">
        <v>40844</v>
      </c>
      <c r="J43" s="68" t="s">
        <v>68</v>
      </c>
      <c r="K43" s="325">
        <v>278</v>
      </c>
      <c r="L43" s="326">
        <v>10</v>
      </c>
      <c r="M43" s="371">
        <v>13261.5</v>
      </c>
      <c r="N43" s="372">
        <v>1860</v>
      </c>
      <c r="O43" s="343">
        <f>2021467.25+4147826.75+1641146.5+1086471.5+837723.5+353523.5+115157+12431.5+1554+13261.5</f>
        <v>10230563</v>
      </c>
      <c r="P43" s="348">
        <f>231121+459388+190384+130345+104513+46481+14878+1830+250+1860</f>
        <v>1181050</v>
      </c>
      <c r="Q43" s="421">
        <v>40907</v>
      </c>
    </row>
    <row r="44" spans="1:17" ht="15.75">
      <c r="A44" s="250"/>
      <c r="B44" s="250"/>
      <c r="C44" s="235"/>
      <c r="D44" s="250"/>
      <c r="E44" s="246" t="s">
        <v>55</v>
      </c>
      <c r="F44" s="237" t="s">
        <v>54</v>
      </c>
      <c r="G44" s="426" t="s">
        <v>74</v>
      </c>
      <c r="H44" s="71" t="s">
        <v>80</v>
      </c>
      <c r="I44" s="268">
        <v>40851</v>
      </c>
      <c r="J44" s="68" t="s">
        <v>53</v>
      </c>
      <c r="K44" s="313">
        <v>247</v>
      </c>
      <c r="L44" s="429">
        <v>10</v>
      </c>
      <c r="M44" s="430">
        <v>13126</v>
      </c>
      <c r="N44" s="423">
        <v>1975</v>
      </c>
      <c r="O44" s="431">
        <f>2260223+2366876.75+3859638+3137342+1906742.5+252.25+1189485.5+474275+250512+184428+13126</f>
        <v>15642901</v>
      </c>
      <c r="P44" s="425">
        <f>286038+329194+554088+452220+278080+42+178270+68355+40409+33224+1975</f>
        <v>2221895</v>
      </c>
      <c r="Q44" s="266">
        <v>40914</v>
      </c>
    </row>
    <row r="45" spans="1:17" ht="15.75">
      <c r="A45" s="235"/>
      <c r="B45" s="235"/>
      <c r="C45" s="235"/>
      <c r="D45" s="235"/>
      <c r="E45" s="239"/>
      <c r="F45" s="237" t="s">
        <v>54</v>
      </c>
      <c r="G45" s="433" t="s">
        <v>115</v>
      </c>
      <c r="H45" s="65" t="s">
        <v>116</v>
      </c>
      <c r="I45" s="268">
        <v>40886</v>
      </c>
      <c r="J45" s="68" t="s">
        <v>12</v>
      </c>
      <c r="K45" s="309">
        <v>161</v>
      </c>
      <c r="L45" s="263">
        <v>5</v>
      </c>
      <c r="M45" s="422">
        <v>11189</v>
      </c>
      <c r="N45" s="423">
        <v>1816</v>
      </c>
      <c r="O45" s="424">
        <v>864220</v>
      </c>
      <c r="P45" s="425">
        <v>104568</v>
      </c>
      <c r="Q45" s="266">
        <v>40914</v>
      </c>
    </row>
    <row r="46" spans="1:17" ht="15.75">
      <c r="A46" s="235"/>
      <c r="B46" s="235"/>
      <c r="C46" s="235"/>
      <c r="D46" s="235"/>
      <c r="E46" s="239"/>
      <c r="F46" s="237" t="s">
        <v>54</v>
      </c>
      <c r="G46" s="433" t="s">
        <v>115</v>
      </c>
      <c r="H46" s="65" t="s">
        <v>116</v>
      </c>
      <c r="I46" s="268">
        <v>40886</v>
      </c>
      <c r="J46" s="68" t="s">
        <v>12</v>
      </c>
      <c r="K46" s="325">
        <v>161</v>
      </c>
      <c r="L46" s="326">
        <v>6</v>
      </c>
      <c r="M46" s="367">
        <v>9906</v>
      </c>
      <c r="N46" s="368">
        <v>1845</v>
      </c>
      <c r="O46" s="335">
        <v>874126</v>
      </c>
      <c r="P46" s="336">
        <v>106413</v>
      </c>
      <c r="Q46" s="266">
        <v>40921</v>
      </c>
    </row>
    <row r="47" spans="1:17" ht="15.75">
      <c r="A47" s="248"/>
      <c r="B47" s="248"/>
      <c r="C47" s="248"/>
      <c r="D47" s="248"/>
      <c r="E47" s="247"/>
      <c r="F47" s="237" t="s">
        <v>54</v>
      </c>
      <c r="G47" s="440" t="s">
        <v>71</v>
      </c>
      <c r="H47" s="65" t="s">
        <v>82</v>
      </c>
      <c r="I47" s="269">
        <v>40858</v>
      </c>
      <c r="J47" s="68" t="s">
        <v>53</v>
      </c>
      <c r="K47" s="325">
        <v>130</v>
      </c>
      <c r="L47" s="353">
        <v>8</v>
      </c>
      <c r="M47" s="427">
        <v>8754</v>
      </c>
      <c r="N47" s="428">
        <v>1547</v>
      </c>
      <c r="O47" s="354">
        <f>665902+436506+215139.5+18371+13790+6539+18719+8754</f>
        <v>1383720.5</v>
      </c>
      <c r="P47" s="355">
        <f>66262+44749+24699+2311+1764+1135+3015+1547</f>
        <v>145482</v>
      </c>
      <c r="Q47" s="421">
        <v>40907</v>
      </c>
    </row>
    <row r="48" spans="1:17" ht="15.75">
      <c r="A48" s="235"/>
      <c r="B48" s="235"/>
      <c r="C48" s="235"/>
      <c r="D48" s="235"/>
      <c r="E48" s="239"/>
      <c r="F48" s="237" t="s">
        <v>54</v>
      </c>
      <c r="G48" s="433" t="s">
        <v>143</v>
      </c>
      <c r="H48" s="65" t="s">
        <v>127</v>
      </c>
      <c r="I48" s="268">
        <v>40893</v>
      </c>
      <c r="J48" s="68" t="s">
        <v>68</v>
      </c>
      <c r="K48" s="309">
        <v>23</v>
      </c>
      <c r="L48" s="416">
        <v>4</v>
      </c>
      <c r="M48" s="417">
        <v>8299</v>
      </c>
      <c r="N48" s="418">
        <v>1237</v>
      </c>
      <c r="O48" s="419">
        <f>53228.5+28585+20298.5+8299</f>
        <v>110411</v>
      </c>
      <c r="P48" s="420">
        <f>6440+3537+2691+1237</f>
        <v>13905</v>
      </c>
      <c r="Q48" s="266">
        <v>40914</v>
      </c>
    </row>
    <row r="49" spans="1:17" ht="15.75">
      <c r="A49" s="251"/>
      <c r="B49" s="251"/>
      <c r="C49" s="235"/>
      <c r="D49" s="251"/>
      <c r="E49" s="239"/>
      <c r="F49" s="237" t="s">
        <v>54</v>
      </c>
      <c r="G49" s="435" t="s">
        <v>120</v>
      </c>
      <c r="H49" s="65" t="s">
        <v>122</v>
      </c>
      <c r="I49" s="268">
        <v>40886</v>
      </c>
      <c r="J49" s="68" t="s">
        <v>121</v>
      </c>
      <c r="K49" s="309">
        <v>82</v>
      </c>
      <c r="L49" s="264">
        <v>5</v>
      </c>
      <c r="M49" s="436">
        <v>8167.5</v>
      </c>
      <c r="N49" s="437">
        <v>1300</v>
      </c>
      <c r="O49" s="438">
        <v>637877</v>
      </c>
      <c r="P49" s="439">
        <v>73245</v>
      </c>
      <c r="Q49" s="266">
        <v>40914</v>
      </c>
    </row>
    <row r="50" spans="1:17" ht="15.75">
      <c r="A50" s="248"/>
      <c r="B50" s="248"/>
      <c r="C50" s="248"/>
      <c r="D50" s="248"/>
      <c r="E50" s="247"/>
      <c r="F50" s="237" t="s">
        <v>54</v>
      </c>
      <c r="G50" s="440" t="s">
        <v>106</v>
      </c>
      <c r="H50" s="65" t="s">
        <v>114</v>
      </c>
      <c r="I50" s="268">
        <v>40879</v>
      </c>
      <c r="J50" s="68" t="s">
        <v>8</v>
      </c>
      <c r="K50" s="325">
        <v>39</v>
      </c>
      <c r="L50" s="340">
        <v>5</v>
      </c>
      <c r="M50" s="371">
        <v>6888</v>
      </c>
      <c r="N50" s="372">
        <v>1032</v>
      </c>
      <c r="O50" s="343">
        <v>207860</v>
      </c>
      <c r="P50" s="348">
        <v>22859</v>
      </c>
      <c r="Q50" s="421">
        <v>40907</v>
      </c>
    </row>
    <row r="51" spans="1:17" ht="15.75">
      <c r="A51" s="597"/>
      <c r="B51" s="597"/>
      <c r="C51" s="597"/>
      <c r="D51" s="597"/>
      <c r="E51" s="597"/>
      <c r="F51" s="474" t="s">
        <v>54</v>
      </c>
      <c r="G51" s="243" t="s">
        <v>143</v>
      </c>
      <c r="H51" s="65" t="s">
        <v>127</v>
      </c>
      <c r="I51" s="268">
        <v>40893</v>
      </c>
      <c r="J51" s="68" t="s">
        <v>68</v>
      </c>
      <c r="K51" s="325">
        <v>23</v>
      </c>
      <c r="L51" s="326">
        <v>6</v>
      </c>
      <c r="M51" s="371">
        <v>6463</v>
      </c>
      <c r="N51" s="372">
        <v>1419</v>
      </c>
      <c r="O51" s="343">
        <f>53228.5+28585+20298.5+8299+5922+6463</f>
        <v>122796</v>
      </c>
      <c r="P51" s="348">
        <f>6440+3537+2691+1237+891+1419</f>
        <v>16215</v>
      </c>
      <c r="Q51" s="266">
        <v>40928</v>
      </c>
    </row>
    <row r="52" spans="1:17" ht="15.75">
      <c r="A52" s="235"/>
      <c r="B52" s="235"/>
      <c r="C52" s="235"/>
      <c r="D52" s="235"/>
      <c r="E52" s="239"/>
      <c r="F52" s="237" t="s">
        <v>54</v>
      </c>
      <c r="G52" s="433" t="s">
        <v>143</v>
      </c>
      <c r="H52" s="65" t="s">
        <v>127</v>
      </c>
      <c r="I52" s="268">
        <v>40893</v>
      </c>
      <c r="J52" s="68" t="s">
        <v>68</v>
      </c>
      <c r="K52" s="325">
        <v>23</v>
      </c>
      <c r="L52" s="326">
        <v>5</v>
      </c>
      <c r="M52" s="371">
        <v>5922</v>
      </c>
      <c r="N52" s="372">
        <v>891</v>
      </c>
      <c r="O52" s="343">
        <f>53228.5+28585+20298.5+8299+5922</f>
        <v>116333</v>
      </c>
      <c r="P52" s="348">
        <f>6440+3537+2691+1237+891</f>
        <v>14796</v>
      </c>
      <c r="Q52" s="266">
        <v>40921</v>
      </c>
    </row>
    <row r="53" spans="1:17" ht="15.75">
      <c r="A53" s="597"/>
      <c r="B53" s="597"/>
      <c r="C53" s="597"/>
      <c r="D53" s="597"/>
      <c r="E53" s="597"/>
      <c r="F53" s="474" t="s">
        <v>54</v>
      </c>
      <c r="G53" s="253" t="s">
        <v>71</v>
      </c>
      <c r="H53" s="65" t="s">
        <v>82</v>
      </c>
      <c r="I53" s="269">
        <v>40858</v>
      </c>
      <c r="J53" s="68" t="s">
        <v>53</v>
      </c>
      <c r="K53" s="325">
        <v>130</v>
      </c>
      <c r="L53" s="510">
        <v>11</v>
      </c>
      <c r="M53" s="367">
        <v>5914</v>
      </c>
      <c r="N53" s="368">
        <v>595</v>
      </c>
      <c r="O53" s="333">
        <f>665902+436506+215139.5+18371+13790+6539+18719+8754+1085+753+5914</f>
        <v>1391472.5</v>
      </c>
      <c r="P53" s="334">
        <f>66262+44749+24699+2311+1764+1135+3015+1547+179+111+595</f>
        <v>146367</v>
      </c>
      <c r="Q53" s="266">
        <v>40928</v>
      </c>
    </row>
    <row r="54" spans="1:17" ht="15.75">
      <c r="A54" s="248"/>
      <c r="B54" s="248"/>
      <c r="C54" s="248"/>
      <c r="D54" s="248"/>
      <c r="E54" s="247"/>
      <c r="F54" s="237" t="s">
        <v>54</v>
      </c>
      <c r="G54" s="433" t="s">
        <v>73</v>
      </c>
      <c r="H54" s="67" t="s">
        <v>87</v>
      </c>
      <c r="I54" s="268">
        <v>40858</v>
      </c>
      <c r="J54" s="68" t="s">
        <v>68</v>
      </c>
      <c r="K54" s="325">
        <v>32</v>
      </c>
      <c r="L54" s="326">
        <v>8</v>
      </c>
      <c r="M54" s="371">
        <v>5519</v>
      </c>
      <c r="N54" s="372">
        <v>782</v>
      </c>
      <c r="O54" s="343">
        <f>119417+74006.5+30939.5+15734+17682+7740+3814.5+5519</f>
        <v>274852.5</v>
      </c>
      <c r="P54" s="348">
        <f>12383+8559+4204+1986+2778+1301+707+782</f>
        <v>32700</v>
      </c>
      <c r="Q54" s="421">
        <v>40907</v>
      </c>
    </row>
    <row r="55" spans="1:17" ht="15.75">
      <c r="A55" s="235"/>
      <c r="B55" s="235"/>
      <c r="C55" s="235"/>
      <c r="D55" s="235"/>
      <c r="E55" s="239"/>
      <c r="F55" s="237" t="s">
        <v>54</v>
      </c>
      <c r="G55" s="440" t="s">
        <v>106</v>
      </c>
      <c r="H55" s="65" t="s">
        <v>114</v>
      </c>
      <c r="I55" s="268">
        <v>40879</v>
      </c>
      <c r="J55" s="68" t="s">
        <v>8</v>
      </c>
      <c r="K55" s="309">
        <v>39</v>
      </c>
      <c r="L55" s="260">
        <v>6</v>
      </c>
      <c r="M55" s="417">
        <v>5509</v>
      </c>
      <c r="N55" s="418">
        <v>890</v>
      </c>
      <c r="O55" s="419">
        <v>213369</v>
      </c>
      <c r="P55" s="420">
        <v>23749</v>
      </c>
      <c r="Q55" s="266">
        <v>40914</v>
      </c>
    </row>
    <row r="56" spans="1:17" ht="15.75">
      <c r="A56" s="597"/>
      <c r="B56" s="597"/>
      <c r="C56" s="597"/>
      <c r="D56" s="597"/>
      <c r="E56" s="597"/>
      <c r="F56" s="474" t="s">
        <v>54</v>
      </c>
      <c r="G56" s="243" t="s">
        <v>115</v>
      </c>
      <c r="H56" s="65" t="s">
        <v>116</v>
      </c>
      <c r="I56" s="268">
        <v>40886</v>
      </c>
      <c r="J56" s="68" t="s">
        <v>12</v>
      </c>
      <c r="K56" s="325">
        <v>161</v>
      </c>
      <c r="L56" s="326">
        <v>7</v>
      </c>
      <c r="M56" s="367">
        <v>5488</v>
      </c>
      <c r="N56" s="368">
        <v>871</v>
      </c>
      <c r="O56" s="333">
        <v>879619</v>
      </c>
      <c r="P56" s="334">
        <v>107284</v>
      </c>
      <c r="Q56" s="266">
        <v>40928</v>
      </c>
    </row>
    <row r="57" spans="1:17" ht="15.75">
      <c r="A57" s="597"/>
      <c r="B57" s="597"/>
      <c r="C57" s="597"/>
      <c r="D57" s="597"/>
      <c r="E57" s="597"/>
      <c r="F57" s="474" t="s">
        <v>54</v>
      </c>
      <c r="G57" s="249" t="s">
        <v>148</v>
      </c>
      <c r="H57" s="68" t="s">
        <v>112</v>
      </c>
      <c r="I57" s="268">
        <v>40900</v>
      </c>
      <c r="J57" s="68" t="s">
        <v>52</v>
      </c>
      <c r="K57" s="356">
        <v>14</v>
      </c>
      <c r="L57" s="344">
        <v>5</v>
      </c>
      <c r="M57" s="553">
        <v>5447</v>
      </c>
      <c r="N57" s="554">
        <v>752</v>
      </c>
      <c r="O57" s="505">
        <f>43848.5+19458.5+4777+1091+5447</f>
        <v>74622</v>
      </c>
      <c r="P57" s="334">
        <f>3764+1850+439+142+752</f>
        <v>6947</v>
      </c>
      <c r="Q57" s="266">
        <v>40928</v>
      </c>
    </row>
    <row r="58" spans="1:17" ht="15.75">
      <c r="A58" s="597"/>
      <c r="B58" s="597"/>
      <c r="C58" s="597"/>
      <c r="D58" s="597"/>
      <c r="E58" s="597"/>
      <c r="F58" s="474" t="s">
        <v>54</v>
      </c>
      <c r="G58" s="253" t="s">
        <v>106</v>
      </c>
      <c r="H58" s="65" t="s">
        <v>114</v>
      </c>
      <c r="I58" s="268">
        <v>40879</v>
      </c>
      <c r="J58" s="68" t="s">
        <v>8</v>
      </c>
      <c r="K58" s="325">
        <v>39</v>
      </c>
      <c r="L58" s="340">
        <v>8</v>
      </c>
      <c r="M58" s="555">
        <v>5216</v>
      </c>
      <c r="N58" s="556">
        <v>689</v>
      </c>
      <c r="O58" s="341">
        <v>223515</v>
      </c>
      <c r="P58" s="342">
        <v>25285</v>
      </c>
      <c r="Q58" s="266">
        <v>40928</v>
      </c>
    </row>
    <row r="59" spans="1:17" ht="15.75">
      <c r="A59" s="597"/>
      <c r="B59" s="597"/>
      <c r="C59" s="597"/>
      <c r="D59" s="597"/>
      <c r="E59" s="246" t="s">
        <v>55</v>
      </c>
      <c r="F59" s="474" t="s">
        <v>54</v>
      </c>
      <c r="G59" s="249" t="s">
        <v>74</v>
      </c>
      <c r="H59" s="71" t="s">
        <v>80</v>
      </c>
      <c r="I59" s="268">
        <v>40851</v>
      </c>
      <c r="J59" s="68" t="s">
        <v>53</v>
      </c>
      <c r="K59" s="339">
        <v>247</v>
      </c>
      <c r="L59" s="510">
        <v>12</v>
      </c>
      <c r="M59" s="367">
        <v>5006</v>
      </c>
      <c r="N59" s="368">
        <v>988</v>
      </c>
      <c r="O59" s="333">
        <f>2260223+2366876.75+3859638+3137342+1906742.5+252.25+1189485.5+474275+250512+184428+13126+754+5006</f>
        <v>15648661</v>
      </c>
      <c r="P59" s="334">
        <f>286038+329194+554088+452220+278080+42+178270+68355+40409+33224+1975+104+988</f>
        <v>2222987</v>
      </c>
      <c r="Q59" s="266">
        <v>40928</v>
      </c>
    </row>
    <row r="60" spans="1:17" ht="15.75">
      <c r="A60" s="235"/>
      <c r="B60" s="235"/>
      <c r="C60" s="235"/>
      <c r="D60" s="235"/>
      <c r="E60" s="239"/>
      <c r="F60" s="237" t="s">
        <v>54</v>
      </c>
      <c r="G60" s="440" t="s">
        <v>106</v>
      </c>
      <c r="H60" s="65" t="s">
        <v>114</v>
      </c>
      <c r="I60" s="268">
        <v>40879</v>
      </c>
      <c r="J60" s="68" t="s">
        <v>8</v>
      </c>
      <c r="K60" s="325">
        <v>39</v>
      </c>
      <c r="L60" s="340">
        <v>7</v>
      </c>
      <c r="M60" s="369">
        <v>4931</v>
      </c>
      <c r="N60" s="370">
        <v>847</v>
      </c>
      <c r="O60" s="343">
        <v>216338</v>
      </c>
      <c r="P60" s="348">
        <v>24246</v>
      </c>
      <c r="Q60" s="266">
        <v>40921</v>
      </c>
    </row>
    <row r="61" spans="1:17" ht="15.75">
      <c r="A61" s="235"/>
      <c r="B61" s="235"/>
      <c r="C61" s="235"/>
      <c r="D61" s="235"/>
      <c r="E61" s="239"/>
      <c r="F61" s="237" t="s">
        <v>54</v>
      </c>
      <c r="G61" s="426" t="s">
        <v>148</v>
      </c>
      <c r="H61" s="68" t="s">
        <v>112</v>
      </c>
      <c r="I61" s="268">
        <v>40900</v>
      </c>
      <c r="J61" s="68" t="s">
        <v>52</v>
      </c>
      <c r="K61" s="311">
        <v>14</v>
      </c>
      <c r="L61" s="264">
        <v>3</v>
      </c>
      <c r="M61" s="445">
        <v>4777</v>
      </c>
      <c r="N61" s="446">
        <v>439</v>
      </c>
      <c r="O61" s="447">
        <f>43848.5+19458.5+4777</f>
        <v>68084</v>
      </c>
      <c r="P61" s="448">
        <f>3764+1850+439</f>
        <v>6053</v>
      </c>
      <c r="Q61" s="266">
        <v>40914</v>
      </c>
    </row>
    <row r="62" spans="1:17" ht="15.75">
      <c r="A62" s="251"/>
      <c r="B62" s="251"/>
      <c r="C62" s="235"/>
      <c r="D62" s="251"/>
      <c r="E62" s="239"/>
      <c r="F62" s="237" t="s">
        <v>54</v>
      </c>
      <c r="G62" s="435" t="s">
        <v>120</v>
      </c>
      <c r="H62" s="65" t="s">
        <v>122</v>
      </c>
      <c r="I62" s="268">
        <v>40886</v>
      </c>
      <c r="J62" s="68" t="s">
        <v>121</v>
      </c>
      <c r="K62" s="325">
        <v>82</v>
      </c>
      <c r="L62" s="344">
        <v>6</v>
      </c>
      <c r="M62" s="377">
        <v>4728</v>
      </c>
      <c r="N62" s="378">
        <v>758</v>
      </c>
      <c r="O62" s="358">
        <v>642785</v>
      </c>
      <c r="P62" s="359">
        <v>74003</v>
      </c>
      <c r="Q62" s="266">
        <v>40921</v>
      </c>
    </row>
    <row r="63" spans="1:17" ht="15.75">
      <c r="A63" s="235"/>
      <c r="B63" s="235"/>
      <c r="C63" s="235"/>
      <c r="D63" s="235"/>
      <c r="E63" s="239"/>
      <c r="F63" s="237" t="s">
        <v>54</v>
      </c>
      <c r="G63" s="433" t="s">
        <v>269</v>
      </c>
      <c r="H63" s="65" t="s">
        <v>284</v>
      </c>
      <c r="I63" s="268">
        <v>40809</v>
      </c>
      <c r="J63" s="68" t="s">
        <v>68</v>
      </c>
      <c r="K63" s="309">
        <v>66</v>
      </c>
      <c r="L63" s="416">
        <v>16</v>
      </c>
      <c r="M63" s="417">
        <v>4669.5</v>
      </c>
      <c r="N63" s="418">
        <v>1220</v>
      </c>
      <c r="O63" s="419">
        <f>382290+386122+344313.5+244996+104138.75+43618.5+27632+12528+6812+832+1782+2257+1782+5477.5+2138.5+4669.5</f>
        <v>1571389.25</v>
      </c>
      <c r="P63" s="420">
        <f>34863+36137+32260+23896+12188+5940+2894+1417+1234+90+446+565+446+1293+535+1220</f>
        <v>155424</v>
      </c>
      <c r="Q63" s="266">
        <v>40914</v>
      </c>
    </row>
    <row r="64" spans="1:17" ht="15.75">
      <c r="A64" s="235"/>
      <c r="B64" s="235"/>
      <c r="C64" s="235"/>
      <c r="D64" s="235"/>
      <c r="E64" s="239"/>
      <c r="F64" s="237" t="s">
        <v>54</v>
      </c>
      <c r="G64" s="433" t="s">
        <v>353</v>
      </c>
      <c r="H64" s="67" t="s">
        <v>364</v>
      </c>
      <c r="I64" s="268">
        <v>40676</v>
      </c>
      <c r="J64" s="68" t="s">
        <v>68</v>
      </c>
      <c r="K64" s="309">
        <v>10</v>
      </c>
      <c r="L64" s="416">
        <v>20</v>
      </c>
      <c r="M64" s="417">
        <v>3801.5</v>
      </c>
      <c r="N64" s="418">
        <v>950</v>
      </c>
      <c r="O64" s="419">
        <f>19776.5+5289.5+3941.5+4149+6030.5+491+2263+886+669+235+576+182+578+116+1188+1782+1782+1782+1782+3801.5</f>
        <v>57300.5</v>
      </c>
      <c r="P64" s="420">
        <f>2214+710+772+646+1024+103+434+139+105+46+100+16+62+13+297+446+446+446+446+950</f>
        <v>9415</v>
      </c>
      <c r="Q64" s="266">
        <v>40914</v>
      </c>
    </row>
    <row r="65" spans="1:17" ht="15.75">
      <c r="A65" s="235"/>
      <c r="B65" s="235"/>
      <c r="C65" s="235"/>
      <c r="D65" s="235"/>
      <c r="E65" s="239"/>
      <c r="F65" s="237" t="s">
        <v>54</v>
      </c>
      <c r="G65" s="433" t="s">
        <v>398</v>
      </c>
      <c r="H65" s="67" t="s">
        <v>218</v>
      </c>
      <c r="I65" s="268">
        <v>40627</v>
      </c>
      <c r="J65" s="68" t="s">
        <v>68</v>
      </c>
      <c r="K65" s="325">
        <v>137</v>
      </c>
      <c r="L65" s="326">
        <v>25</v>
      </c>
      <c r="M65" s="371">
        <v>3801.5</v>
      </c>
      <c r="N65" s="372">
        <v>950</v>
      </c>
      <c r="O65" s="343">
        <f>1066061.5+1061275+813239.75+606216+468367.5+266511+137274.5+89937.5+9478+4671.5+2215.5+593.5+2273.5+2234+1858+10514.5+2603+2122+2001+349+713+2613.5+475.5+3801.5</f>
        <v>4557399.75</v>
      </c>
      <c r="P65" s="348">
        <f>110278+106719+82858+62672+50883+32012+17904+13463+1427+637+352+91+261+268+240+2410+402+325+272+26+178+653+109+950</f>
        <v>485390</v>
      </c>
      <c r="Q65" s="266">
        <v>40921</v>
      </c>
    </row>
    <row r="66" spans="1:17" ht="15.75">
      <c r="A66" s="235"/>
      <c r="B66" s="235"/>
      <c r="C66" s="235"/>
      <c r="D66" s="235"/>
      <c r="E66" s="239"/>
      <c r="F66" s="237" t="s">
        <v>54</v>
      </c>
      <c r="G66" s="433" t="s">
        <v>67</v>
      </c>
      <c r="H66" s="67" t="s">
        <v>85</v>
      </c>
      <c r="I66" s="268">
        <v>40844</v>
      </c>
      <c r="J66" s="68" t="s">
        <v>68</v>
      </c>
      <c r="K66" s="309">
        <v>278</v>
      </c>
      <c r="L66" s="416">
        <v>11</v>
      </c>
      <c r="M66" s="417">
        <v>3397.5</v>
      </c>
      <c r="N66" s="418">
        <v>737</v>
      </c>
      <c r="O66" s="419">
        <f>2021467.25+4147826.75+1641146.5+1086471.5+837723.5+353523.5+115157+12431.5+1554+13261.5+3397.5</f>
        <v>10233960.5</v>
      </c>
      <c r="P66" s="420">
        <f>231121+459388+190384+130345+104513+46481+14878+1830+250+1860+737</f>
        <v>1181787</v>
      </c>
      <c r="Q66" s="266">
        <v>40914</v>
      </c>
    </row>
    <row r="67" spans="1:17" ht="15.75">
      <c r="A67" s="597"/>
      <c r="B67" s="597"/>
      <c r="C67" s="597"/>
      <c r="D67" s="597"/>
      <c r="E67" s="597"/>
      <c r="F67" s="474" t="s">
        <v>54</v>
      </c>
      <c r="G67" s="256" t="s">
        <v>120</v>
      </c>
      <c r="H67" s="65" t="s">
        <v>122</v>
      </c>
      <c r="I67" s="268">
        <v>40886</v>
      </c>
      <c r="J67" s="68" t="s">
        <v>121</v>
      </c>
      <c r="K67" s="325">
        <v>82</v>
      </c>
      <c r="L67" s="344">
        <v>7</v>
      </c>
      <c r="M67" s="377">
        <v>2957.9</v>
      </c>
      <c r="N67" s="378">
        <v>493</v>
      </c>
      <c r="O67" s="358">
        <v>645699.9</v>
      </c>
      <c r="P67" s="359">
        <v>74489</v>
      </c>
      <c r="Q67" s="266">
        <v>40928</v>
      </c>
    </row>
    <row r="68" spans="1:17" ht="15.75">
      <c r="A68" s="250"/>
      <c r="B68" s="250"/>
      <c r="C68" s="235"/>
      <c r="D68" s="250"/>
      <c r="E68" s="239"/>
      <c r="F68" s="237" t="s">
        <v>54</v>
      </c>
      <c r="G68" s="395" t="s">
        <v>335</v>
      </c>
      <c r="H68" s="70" t="s">
        <v>338</v>
      </c>
      <c r="I68" s="268">
        <v>40830</v>
      </c>
      <c r="J68" s="68" t="s">
        <v>53</v>
      </c>
      <c r="K68" s="312">
        <v>142</v>
      </c>
      <c r="L68" s="429">
        <v>12</v>
      </c>
      <c r="M68" s="430">
        <v>2402</v>
      </c>
      <c r="N68" s="423">
        <v>480</v>
      </c>
      <c r="O68" s="431">
        <f>248732+139942.5+41015.5+4968+2270+1973+10279+6007+1097+295+261+2402</f>
        <v>459242</v>
      </c>
      <c r="P68" s="425">
        <f>33636+19210+5940+800+378+422+1552+983+159+45+36+480</f>
        <v>63641</v>
      </c>
      <c r="Q68" s="266">
        <v>40914</v>
      </c>
    </row>
    <row r="69" spans="1:17" ht="15.75">
      <c r="A69" s="248"/>
      <c r="B69" s="248"/>
      <c r="C69" s="248"/>
      <c r="D69" s="248"/>
      <c r="E69" s="247"/>
      <c r="F69" s="237" t="s">
        <v>54</v>
      </c>
      <c r="G69" s="433" t="s">
        <v>269</v>
      </c>
      <c r="H69" s="65" t="s">
        <v>284</v>
      </c>
      <c r="I69" s="268">
        <v>40809</v>
      </c>
      <c r="J69" s="68" t="s">
        <v>68</v>
      </c>
      <c r="K69" s="325">
        <v>66</v>
      </c>
      <c r="L69" s="432">
        <v>15</v>
      </c>
      <c r="M69" s="371">
        <v>2138.5</v>
      </c>
      <c r="N69" s="372">
        <v>535</v>
      </c>
      <c r="O69" s="343">
        <f>382290+386122+344313.5+244996+104138.75+43618.5+27632+12528+6812+832+1782+2257+1782+5477.5+2138.5</f>
        <v>1566719.75</v>
      </c>
      <c r="P69" s="348">
        <f>34863+36137+32260+23896+12188+5940+2894+1417+1234+90+446+565+446+1293+535</f>
        <v>154204</v>
      </c>
      <c r="Q69" s="421">
        <v>40907</v>
      </c>
    </row>
    <row r="70" spans="1:17" ht="15.75">
      <c r="A70" s="235"/>
      <c r="B70" s="235"/>
      <c r="C70" s="235"/>
      <c r="D70" s="235"/>
      <c r="E70" s="239"/>
      <c r="F70" s="237" t="s">
        <v>54</v>
      </c>
      <c r="G70" s="433" t="s">
        <v>353</v>
      </c>
      <c r="H70" s="67" t="s">
        <v>364</v>
      </c>
      <c r="I70" s="268">
        <v>40676</v>
      </c>
      <c r="J70" s="68" t="s">
        <v>68</v>
      </c>
      <c r="K70" s="325">
        <v>10</v>
      </c>
      <c r="L70" s="326">
        <v>21</v>
      </c>
      <c r="M70" s="371">
        <v>2138.5</v>
      </c>
      <c r="N70" s="372">
        <v>535</v>
      </c>
      <c r="O70" s="343">
        <f>19776.5+5289.5+3941.5+4149+6030.5+491+2263+886+669+235+576+182+578+116+1188+1782+1782+1782+1782+3801.5+2138.5</f>
        <v>59439</v>
      </c>
      <c r="P70" s="348">
        <f>2214+710+772+646+1024+103+434+139+105+46+100+16+62+13+297+446+446+446+446+950+535</f>
        <v>9950</v>
      </c>
      <c r="Q70" s="266">
        <v>40921</v>
      </c>
    </row>
    <row r="71" spans="1:17" ht="15.75">
      <c r="A71" s="235"/>
      <c r="B71" s="235"/>
      <c r="C71" s="235"/>
      <c r="D71" s="235"/>
      <c r="E71" s="239"/>
      <c r="F71" s="237" t="s">
        <v>54</v>
      </c>
      <c r="G71" s="426" t="s">
        <v>77</v>
      </c>
      <c r="H71" s="68" t="s">
        <v>188</v>
      </c>
      <c r="I71" s="268">
        <v>40865</v>
      </c>
      <c r="J71" s="68" t="s">
        <v>52</v>
      </c>
      <c r="K71" s="311">
        <v>64</v>
      </c>
      <c r="L71" s="264">
        <v>8</v>
      </c>
      <c r="M71" s="445">
        <v>1985</v>
      </c>
      <c r="N71" s="446">
        <v>352</v>
      </c>
      <c r="O71" s="447">
        <f>256046+137037.5+20115+5099+3542+3484.5+1302+1985</f>
        <v>428611</v>
      </c>
      <c r="P71" s="448">
        <f>25390+13650+2140+705+587+707+246+352</f>
        <v>43777</v>
      </c>
      <c r="Q71" s="266">
        <v>40914</v>
      </c>
    </row>
    <row r="72" spans="1:17" ht="15.75">
      <c r="A72" s="598"/>
      <c r="B72" s="598"/>
      <c r="C72" s="598"/>
      <c r="D72" s="598"/>
      <c r="E72" s="601"/>
      <c r="F72" s="237" t="s">
        <v>54</v>
      </c>
      <c r="G72" s="440" t="s">
        <v>304</v>
      </c>
      <c r="H72" s="65" t="s">
        <v>112</v>
      </c>
      <c r="I72" s="268">
        <v>40886</v>
      </c>
      <c r="J72" s="68" t="s">
        <v>52</v>
      </c>
      <c r="K72" s="360">
        <v>8</v>
      </c>
      <c r="L72" s="344">
        <v>5</v>
      </c>
      <c r="M72" s="373">
        <v>1920</v>
      </c>
      <c r="N72" s="374">
        <v>379</v>
      </c>
      <c r="O72" s="349">
        <f>11392+5145+695+1862+1920</f>
        <v>21014</v>
      </c>
      <c r="P72" s="334">
        <f>1392+701+109+241+379</f>
        <v>2822</v>
      </c>
      <c r="Q72" s="266">
        <v>40921</v>
      </c>
    </row>
    <row r="73" spans="1:17" ht="15.75">
      <c r="A73" s="248"/>
      <c r="B73" s="599"/>
      <c r="C73" s="599"/>
      <c r="D73" s="599"/>
      <c r="E73" s="602"/>
      <c r="F73" s="237" t="s">
        <v>54</v>
      </c>
      <c r="G73" s="440" t="s">
        <v>304</v>
      </c>
      <c r="H73" s="65" t="s">
        <v>112</v>
      </c>
      <c r="I73" s="268">
        <v>40886</v>
      </c>
      <c r="J73" s="68" t="s">
        <v>52</v>
      </c>
      <c r="K73" s="360">
        <v>8</v>
      </c>
      <c r="L73" s="344">
        <v>4</v>
      </c>
      <c r="M73" s="449">
        <v>1862</v>
      </c>
      <c r="N73" s="450">
        <v>241</v>
      </c>
      <c r="O73" s="330">
        <f>11392+5145+695+1862</f>
        <v>19094</v>
      </c>
      <c r="P73" s="334">
        <f>1392+701+109+241</f>
        <v>2443</v>
      </c>
      <c r="Q73" s="421">
        <v>40907</v>
      </c>
    </row>
    <row r="74" spans="1:17" ht="15.75">
      <c r="A74" s="235"/>
      <c r="B74" s="598"/>
      <c r="C74" s="598"/>
      <c r="D74" s="598"/>
      <c r="E74" s="601"/>
      <c r="F74" s="237" t="s">
        <v>54</v>
      </c>
      <c r="G74" s="433" t="s">
        <v>356</v>
      </c>
      <c r="H74" s="67" t="s">
        <v>366</v>
      </c>
      <c r="I74" s="268">
        <v>40795</v>
      </c>
      <c r="J74" s="68" t="s">
        <v>68</v>
      </c>
      <c r="K74" s="309">
        <v>3</v>
      </c>
      <c r="L74" s="416">
        <v>8</v>
      </c>
      <c r="M74" s="417">
        <v>1782</v>
      </c>
      <c r="N74" s="418">
        <v>446</v>
      </c>
      <c r="O74" s="419">
        <f>4125+2511+398+1048+854+482+594+1782</f>
        <v>11794</v>
      </c>
      <c r="P74" s="420">
        <f>422+287+52+100+134+61+149+446</f>
        <v>1651</v>
      </c>
      <c r="Q74" s="266">
        <v>40914</v>
      </c>
    </row>
    <row r="75" spans="1:17" ht="15.75">
      <c r="A75" s="259"/>
      <c r="B75" s="600"/>
      <c r="C75" s="599"/>
      <c r="D75" s="600"/>
      <c r="E75" s="602"/>
      <c r="F75" s="237" t="s">
        <v>54</v>
      </c>
      <c r="G75" s="395" t="s">
        <v>66</v>
      </c>
      <c r="H75" s="70" t="s">
        <v>81</v>
      </c>
      <c r="I75" s="268">
        <v>40844</v>
      </c>
      <c r="J75" s="68" t="s">
        <v>53</v>
      </c>
      <c r="K75" s="339">
        <v>245</v>
      </c>
      <c r="L75" s="353">
        <v>10</v>
      </c>
      <c r="M75" s="427">
        <v>1680</v>
      </c>
      <c r="N75" s="428">
        <v>262</v>
      </c>
      <c r="O75" s="354">
        <f>2095427.5+1865707+650031+295029.5+57559.5+69427+8354+22014.5+2923+1680</f>
        <v>5068153</v>
      </c>
      <c r="P75" s="355">
        <f>212522+189875+68849+32548+6112+10910+1695+4739+564+262</f>
        <v>528076</v>
      </c>
      <c r="Q75" s="421">
        <v>40907</v>
      </c>
    </row>
    <row r="76" spans="1:17" ht="15.75">
      <c r="A76" s="599"/>
      <c r="B76" s="599"/>
      <c r="C76" s="599"/>
      <c r="D76" s="599"/>
      <c r="E76" s="602"/>
      <c r="F76" s="237" t="s">
        <v>54</v>
      </c>
      <c r="G76" s="426" t="s">
        <v>77</v>
      </c>
      <c r="H76" s="68" t="s">
        <v>188</v>
      </c>
      <c r="I76" s="268">
        <v>40865</v>
      </c>
      <c r="J76" s="68" t="s">
        <v>52</v>
      </c>
      <c r="K76" s="356">
        <v>64</v>
      </c>
      <c r="L76" s="344">
        <v>7</v>
      </c>
      <c r="M76" s="449">
        <v>1302</v>
      </c>
      <c r="N76" s="450">
        <v>246</v>
      </c>
      <c r="O76" s="330">
        <f>256046+137037.5+20115+5099+3542+3484.5+1302</f>
        <v>426626</v>
      </c>
      <c r="P76" s="334">
        <f>25390+13650+2140+705+587+707+246</f>
        <v>43425</v>
      </c>
      <c r="Q76" s="421">
        <v>40907</v>
      </c>
    </row>
    <row r="77" spans="1:17" ht="15.75">
      <c r="A77" s="598"/>
      <c r="B77" s="598"/>
      <c r="C77" s="598"/>
      <c r="D77" s="598"/>
      <c r="E77" s="601"/>
      <c r="F77" s="237" t="s">
        <v>54</v>
      </c>
      <c r="G77" s="426" t="s">
        <v>148</v>
      </c>
      <c r="H77" s="68" t="s">
        <v>112</v>
      </c>
      <c r="I77" s="268">
        <v>40900</v>
      </c>
      <c r="J77" s="68" t="s">
        <v>52</v>
      </c>
      <c r="K77" s="356">
        <v>14</v>
      </c>
      <c r="L77" s="344">
        <v>4</v>
      </c>
      <c r="M77" s="373">
        <v>1091</v>
      </c>
      <c r="N77" s="374">
        <v>142</v>
      </c>
      <c r="O77" s="349">
        <f>43848.5+19458.5+4777+1091</f>
        <v>69175</v>
      </c>
      <c r="P77" s="334">
        <f>3764+1850+439+142</f>
        <v>6195</v>
      </c>
      <c r="Q77" s="266">
        <v>40921</v>
      </c>
    </row>
    <row r="78" spans="1:17" ht="15.75">
      <c r="A78" s="598"/>
      <c r="B78" s="598"/>
      <c r="C78" s="598"/>
      <c r="D78" s="235"/>
      <c r="E78" s="601"/>
      <c r="F78" s="237" t="s">
        <v>54</v>
      </c>
      <c r="G78" s="440" t="s">
        <v>71</v>
      </c>
      <c r="H78" s="65" t="s">
        <v>82</v>
      </c>
      <c r="I78" s="269">
        <v>40858</v>
      </c>
      <c r="J78" s="68" t="s">
        <v>53</v>
      </c>
      <c r="K78" s="309">
        <v>130</v>
      </c>
      <c r="L78" s="429">
        <v>2</v>
      </c>
      <c r="M78" s="430">
        <v>1085</v>
      </c>
      <c r="N78" s="423">
        <v>179</v>
      </c>
      <c r="O78" s="431">
        <f>665902+436506+215139.5+18371+13790+6539+18719+8754+1085</f>
        <v>1384805.5</v>
      </c>
      <c r="P78" s="425">
        <f>66262+44749+24699+2311+1764+1135+3015+1547+179</f>
        <v>145661</v>
      </c>
      <c r="Q78" s="266">
        <v>40914</v>
      </c>
    </row>
    <row r="79" spans="1:17" ht="15.75">
      <c r="A79" s="598"/>
      <c r="B79" s="598"/>
      <c r="C79" s="598"/>
      <c r="D79" s="598"/>
      <c r="E79" s="601"/>
      <c r="F79" s="237" t="s">
        <v>54</v>
      </c>
      <c r="G79" s="433" t="s">
        <v>269</v>
      </c>
      <c r="H79" s="65" t="s">
        <v>284</v>
      </c>
      <c r="I79" s="268">
        <v>40809</v>
      </c>
      <c r="J79" s="68" t="s">
        <v>68</v>
      </c>
      <c r="K79" s="325">
        <v>66</v>
      </c>
      <c r="L79" s="326">
        <v>17</v>
      </c>
      <c r="M79" s="371">
        <v>970</v>
      </c>
      <c r="N79" s="372">
        <v>404</v>
      </c>
      <c r="O79" s="343">
        <f>382290+386122+344313.5+244996+104138.75+43618.5+27632+12528+6812+832+1782+2257+1782+5477.5+2138.5+4669.5+970</f>
        <v>1572359.25</v>
      </c>
      <c r="P79" s="348">
        <f>34863+36137+32260+23896+12188+5940+2894+1417+1234+90+446+565+446+1293+535+1220+404</f>
        <v>155828</v>
      </c>
      <c r="Q79" s="266">
        <v>40921</v>
      </c>
    </row>
    <row r="80" spans="1:17" ht="15.75">
      <c r="A80" s="599"/>
      <c r="B80" s="599"/>
      <c r="C80" s="599"/>
      <c r="D80" s="599"/>
      <c r="E80" s="602"/>
      <c r="F80" s="237" t="s">
        <v>54</v>
      </c>
      <c r="G80" s="433" t="s">
        <v>270</v>
      </c>
      <c r="H80" s="65" t="s">
        <v>283</v>
      </c>
      <c r="I80" s="269">
        <v>40095</v>
      </c>
      <c r="J80" s="68" t="s">
        <v>68</v>
      </c>
      <c r="K80" s="325">
        <v>52</v>
      </c>
      <c r="L80" s="326">
        <v>16</v>
      </c>
      <c r="M80" s="371">
        <v>952</v>
      </c>
      <c r="N80" s="372">
        <v>238</v>
      </c>
      <c r="O80" s="343">
        <f>108013.25+68864+27976+10214+2402+2209+1188+2968+1780+1780+2427.4+364.82+248.58+1780+1188+952</f>
        <v>234355.05</v>
      </c>
      <c r="P80" s="348">
        <f>12202+8144+4339+1841+481+460+297+742+445+445+599+87+57+445+297+238</f>
        <v>31119</v>
      </c>
      <c r="Q80" s="421">
        <v>40907</v>
      </c>
    </row>
    <row r="81" spans="1:17" ht="15.75">
      <c r="A81" s="598"/>
      <c r="B81" s="598"/>
      <c r="C81" s="598"/>
      <c r="D81" s="598"/>
      <c r="E81" s="601"/>
      <c r="F81" s="237" t="s">
        <v>54</v>
      </c>
      <c r="G81" s="433" t="s">
        <v>73</v>
      </c>
      <c r="H81" s="67" t="s">
        <v>87</v>
      </c>
      <c r="I81" s="268">
        <v>40858</v>
      </c>
      <c r="J81" s="68" t="s">
        <v>68</v>
      </c>
      <c r="K81" s="309">
        <v>32</v>
      </c>
      <c r="L81" s="416">
        <v>9</v>
      </c>
      <c r="M81" s="417">
        <v>937</v>
      </c>
      <c r="N81" s="418">
        <v>165</v>
      </c>
      <c r="O81" s="419">
        <f>119417+74006.5+30939.5+15734+17682+7740+3814.5+5519+937</f>
        <v>275789.5</v>
      </c>
      <c r="P81" s="420">
        <f>12383+8559+4204+1986+2778+1301+707+782+165</f>
        <v>32865</v>
      </c>
      <c r="Q81" s="266">
        <v>40914</v>
      </c>
    </row>
    <row r="82" spans="1:17" ht="15.75">
      <c r="A82" s="596"/>
      <c r="B82" s="596"/>
      <c r="C82" s="598"/>
      <c r="D82" s="596"/>
      <c r="E82" s="603" t="s">
        <v>55</v>
      </c>
      <c r="F82" s="237" t="s">
        <v>54</v>
      </c>
      <c r="G82" s="426" t="s">
        <v>74</v>
      </c>
      <c r="H82" s="71" t="s">
        <v>80</v>
      </c>
      <c r="I82" s="268">
        <v>40851</v>
      </c>
      <c r="J82" s="68" t="s">
        <v>53</v>
      </c>
      <c r="K82" s="339">
        <v>247</v>
      </c>
      <c r="L82" s="353">
        <v>11</v>
      </c>
      <c r="M82" s="367">
        <v>754</v>
      </c>
      <c r="N82" s="368">
        <v>104</v>
      </c>
      <c r="O82" s="354">
        <f>2260223+2366876.75+3859638+3137342+1906742.5+252.25+1189485.5+474275+250512+184428+13126+754</f>
        <v>15643655</v>
      </c>
      <c r="P82" s="355">
        <f>286038+329194+554088+452220+278080+42+178270+68355+40409+33224+1975+104</f>
        <v>2221999</v>
      </c>
      <c r="Q82" s="266">
        <v>40921</v>
      </c>
    </row>
    <row r="83" spans="1:17" ht="15.75">
      <c r="A83" s="598"/>
      <c r="B83" s="598"/>
      <c r="C83" s="598"/>
      <c r="D83" s="598"/>
      <c r="E83" s="601"/>
      <c r="F83" s="237" t="s">
        <v>54</v>
      </c>
      <c r="G83" s="440" t="s">
        <v>71</v>
      </c>
      <c r="H83" s="65" t="s">
        <v>82</v>
      </c>
      <c r="I83" s="269">
        <v>40858</v>
      </c>
      <c r="J83" s="68" t="s">
        <v>53</v>
      </c>
      <c r="K83" s="325">
        <v>130</v>
      </c>
      <c r="L83" s="353">
        <v>1</v>
      </c>
      <c r="M83" s="367">
        <v>753</v>
      </c>
      <c r="N83" s="368">
        <v>111</v>
      </c>
      <c r="O83" s="354">
        <f>665902+436506+215139.5+18371+13790+6539+18719+8754+1085+753</f>
        <v>1385558.5</v>
      </c>
      <c r="P83" s="355">
        <f>66262+44749+24699+2311+1764+1135+3015+1547+179+111</f>
        <v>145772</v>
      </c>
      <c r="Q83" s="266">
        <v>40921</v>
      </c>
    </row>
    <row r="84" spans="1:17" ht="15.75">
      <c r="A84" s="598"/>
      <c r="B84" s="598"/>
      <c r="C84" s="598"/>
      <c r="D84" s="598"/>
      <c r="E84" s="601"/>
      <c r="F84" s="237" t="s">
        <v>54</v>
      </c>
      <c r="G84" s="433" t="s">
        <v>73</v>
      </c>
      <c r="H84" s="67" t="s">
        <v>87</v>
      </c>
      <c r="I84" s="268">
        <v>40858</v>
      </c>
      <c r="J84" s="68" t="s">
        <v>68</v>
      </c>
      <c r="K84" s="325">
        <v>32</v>
      </c>
      <c r="L84" s="326">
        <v>10</v>
      </c>
      <c r="M84" s="371">
        <v>732</v>
      </c>
      <c r="N84" s="372">
        <v>115</v>
      </c>
      <c r="O84" s="343">
        <f>119417+74006.5+30939.5+15734+17682+7740+3814.5+5519+937+732</f>
        <v>276521.5</v>
      </c>
      <c r="P84" s="348">
        <f>12383+8559+4204+1986+2778+1301+707+782+165+115</f>
        <v>32980</v>
      </c>
      <c r="Q84" s="266">
        <v>40921</v>
      </c>
    </row>
    <row r="85" spans="6:17" ht="15.75">
      <c r="F85" s="474" t="s">
        <v>54</v>
      </c>
      <c r="G85" s="249" t="s">
        <v>77</v>
      </c>
      <c r="H85" s="68" t="s">
        <v>188</v>
      </c>
      <c r="I85" s="268">
        <v>40865</v>
      </c>
      <c r="J85" s="68" t="s">
        <v>52</v>
      </c>
      <c r="K85" s="356">
        <v>64</v>
      </c>
      <c r="L85" s="344">
        <v>10</v>
      </c>
      <c r="M85" s="553">
        <v>659</v>
      </c>
      <c r="N85" s="554">
        <v>92</v>
      </c>
      <c r="O85" s="505">
        <f>256046+137037.5+20115+5099+3542+3484.5+1302+1985+195+659</f>
        <v>429465</v>
      </c>
      <c r="P85" s="334">
        <f>25390+13650+2140+705+587+707+246+352+31+92</f>
        <v>43900</v>
      </c>
      <c r="Q85" s="266">
        <v>40928</v>
      </c>
    </row>
    <row r="86" spans="1:17" ht="15.75">
      <c r="A86" s="598"/>
      <c r="B86" s="598"/>
      <c r="C86" s="599"/>
      <c r="D86" s="598"/>
      <c r="E86" s="247"/>
      <c r="F86" s="237" t="s">
        <v>54</v>
      </c>
      <c r="G86" s="396" t="s">
        <v>237</v>
      </c>
      <c r="H86" s="68" t="s">
        <v>238</v>
      </c>
      <c r="I86" s="268">
        <v>40613</v>
      </c>
      <c r="J86" s="68" t="s">
        <v>13</v>
      </c>
      <c r="K86" s="434">
        <v>25</v>
      </c>
      <c r="L86" s="326">
        <v>19</v>
      </c>
      <c r="M86" s="367">
        <v>594</v>
      </c>
      <c r="N86" s="368">
        <v>118</v>
      </c>
      <c r="O86" s="333">
        <v>211543.5</v>
      </c>
      <c r="P86" s="334">
        <v>28466</v>
      </c>
      <c r="Q86" s="421">
        <v>40907</v>
      </c>
    </row>
    <row r="87" spans="1:17" ht="15.75">
      <c r="A87" s="596"/>
      <c r="B87" s="596"/>
      <c r="C87" s="598"/>
      <c r="D87" s="596"/>
      <c r="E87" s="601"/>
      <c r="F87" s="237" t="s">
        <v>54</v>
      </c>
      <c r="G87" s="395" t="s">
        <v>66</v>
      </c>
      <c r="H87" s="70" t="s">
        <v>81</v>
      </c>
      <c r="I87" s="268">
        <v>40844</v>
      </c>
      <c r="J87" s="68" t="s">
        <v>53</v>
      </c>
      <c r="K87" s="313">
        <v>245</v>
      </c>
      <c r="L87" s="429">
        <v>11</v>
      </c>
      <c r="M87" s="430">
        <v>573</v>
      </c>
      <c r="N87" s="423">
        <v>94</v>
      </c>
      <c r="O87" s="431">
        <f>2095427.5+1865707+650031+295029.5+57559.5+69427+8354+22014.5+2923+1680+573</f>
        <v>5068726</v>
      </c>
      <c r="P87" s="425">
        <f>212522+189875+68849+32548+6112+10910+1695+4739+564+262+94</f>
        <v>528170</v>
      </c>
      <c r="Q87" s="266">
        <v>40914</v>
      </c>
    </row>
    <row r="88" spans="6:17" ht="15.75">
      <c r="F88" s="474" t="s">
        <v>54</v>
      </c>
      <c r="G88" s="243" t="s">
        <v>73</v>
      </c>
      <c r="H88" s="67" t="s">
        <v>87</v>
      </c>
      <c r="I88" s="268">
        <v>40858</v>
      </c>
      <c r="J88" s="68" t="s">
        <v>68</v>
      </c>
      <c r="K88" s="325">
        <v>32</v>
      </c>
      <c r="L88" s="326">
        <v>10</v>
      </c>
      <c r="M88" s="371">
        <v>479</v>
      </c>
      <c r="N88" s="372">
        <v>82</v>
      </c>
      <c r="O88" s="343">
        <f>119417+74006.5+30939.5+15734+17682+7740+3814.5+5519+937+732+479</f>
        <v>277000.5</v>
      </c>
      <c r="P88" s="348">
        <f>12383+8559+4204+1986+2778+1301+707+782+165+115+82</f>
        <v>33062</v>
      </c>
      <c r="Q88" s="266">
        <v>40928</v>
      </c>
    </row>
    <row r="89" spans="1:17" ht="15.75">
      <c r="A89" s="598"/>
      <c r="B89" s="598"/>
      <c r="C89" s="598"/>
      <c r="D89" s="598"/>
      <c r="E89" s="601"/>
      <c r="F89" s="237" t="s">
        <v>54</v>
      </c>
      <c r="G89" s="426" t="s">
        <v>77</v>
      </c>
      <c r="H89" s="68" t="s">
        <v>188</v>
      </c>
      <c r="I89" s="268">
        <v>40865</v>
      </c>
      <c r="J89" s="68" t="s">
        <v>52</v>
      </c>
      <c r="K89" s="356">
        <v>64</v>
      </c>
      <c r="L89" s="344">
        <v>9</v>
      </c>
      <c r="M89" s="373">
        <v>195</v>
      </c>
      <c r="N89" s="374">
        <v>31</v>
      </c>
      <c r="O89" s="349">
        <f>256046+137037.5+20115+5099+3542+3484.5+1302+1985+195</f>
        <v>428806</v>
      </c>
      <c r="P89" s="334">
        <f>25390+13650+2140+705+587+707+246+352+31</f>
        <v>43808</v>
      </c>
      <c r="Q89" s="266">
        <v>40921</v>
      </c>
    </row>
  </sheetData>
  <sheetProtection/>
  <mergeCells count="2">
    <mergeCell ref="A1:Q1"/>
    <mergeCell ref="A3:F3"/>
  </mergeCells>
  <printOptions/>
  <pageMargins left="0.7" right="0.7" top="0.75" bottom="0.75" header="0.3" footer="0.3"/>
  <pageSetup orientation="portrait" paperSize="9"/>
  <ignoredErrors>
    <ignoredError sqref="O13:P37 O39:P54 O63:P8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2012-01-27T21:19:17Z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