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311" windowWidth="20610" windowHeight="11310" tabRatio="804" activeTab="0"/>
  </bookViews>
  <sheets>
    <sheet name="24-26.02.2012 (week)" sheetId="1" r:id="rId1"/>
    <sheet name="Weekend (TOP 20)" sheetId="2" r:id="rId2"/>
    <sheet name="Week (TOP 20)" sheetId="3" r:id="rId3"/>
    <sheet name="Ex Years' in 2012" sheetId="4" r:id="rId4"/>
    <sheet name="2012 filmleri (ALL)" sheetId="5" r:id="rId5"/>
    <sheet name="Görünüm" sheetId="6" r:id="rId6"/>
    <sheet name="Dağıtımcı ligi" sheetId="7" r:id="rId7"/>
    <sheet name="Türkiye Yapımları 2012" sheetId="8" r:id="rId8"/>
  </sheets>
  <definedNames>
    <definedName name="_xlnm.Print_Area" localSheetId="0">'24-26.02.2012 (week)'!$A$1:$AP$185</definedName>
  </definedNames>
  <calcPr fullCalcOnLoad="1"/>
</workbook>
</file>

<file path=xl/comments7.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57" authorId="0">
      <text>
        <r>
          <rPr>
            <b/>
            <sz val="9"/>
            <rFont val="Tahoma"/>
            <family val="2"/>
          </rPr>
          <t>DY:</t>
        </r>
        <r>
          <rPr>
            <sz val="9"/>
            <rFont val="Tahoma"/>
            <family val="2"/>
          </rPr>
          <t xml:space="preserve">
O hafta sinemalara türk filmi programlayan şirket her belirtilen film başına 0,75 puan alır</t>
        </r>
      </text>
    </comment>
    <comment ref="F57" authorId="0">
      <text>
        <r>
          <rPr>
            <b/>
            <sz val="9"/>
            <rFont val="Tahoma"/>
            <family val="2"/>
          </rPr>
          <t>DY:</t>
        </r>
        <r>
          <rPr>
            <sz val="9"/>
            <rFont val="Tahoma"/>
            <family val="2"/>
          </rPr>
          <t xml:space="preserve">
O hafta sinemalara yabancı filmi programlayan şirket her film belirtilen başına 0,25 puan alır</t>
        </r>
      </text>
    </comment>
    <comment ref="G57" authorId="0">
      <text>
        <r>
          <rPr>
            <b/>
            <sz val="9"/>
            <rFont val="Tahoma"/>
            <family val="2"/>
          </rPr>
          <t>DY:</t>
        </r>
        <r>
          <rPr>
            <sz val="9"/>
            <rFont val="Tahoma"/>
            <family val="2"/>
          </rPr>
          <t xml:space="preserve">
O hafta sinemalara bir türk filmini ilk kez programlayan şirket her belirtilen film başına 3 puan alır</t>
        </r>
      </text>
    </comment>
    <comment ref="H57" authorId="0">
      <text>
        <r>
          <rPr>
            <b/>
            <sz val="9"/>
            <rFont val="Tahoma"/>
            <family val="2"/>
          </rPr>
          <t>DY:</t>
        </r>
        <r>
          <rPr>
            <sz val="9"/>
            <rFont val="Tahoma"/>
            <family val="2"/>
          </rPr>
          <t xml:space="preserve">
O hafta sinemalara bir yabancı filmi ilk kez programlayan şirket her belirtilen film başına 2 puan alır</t>
        </r>
      </text>
    </comment>
    <comment ref="I57" authorId="0">
      <text>
        <r>
          <rPr>
            <b/>
            <sz val="9"/>
            <rFont val="Tahoma"/>
            <family val="2"/>
          </rPr>
          <t>DY:</t>
        </r>
        <r>
          <rPr>
            <sz val="9"/>
            <rFont val="Tahoma"/>
            <family val="2"/>
          </rPr>
          <t xml:space="preserve">
O hafta sinemalara en fazla film programlayan şirketlere 0,75 puan verilir</t>
        </r>
      </text>
    </comment>
    <comment ref="J5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5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5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5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5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5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5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5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5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5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5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72" authorId="0">
      <text>
        <r>
          <rPr>
            <b/>
            <sz val="9"/>
            <rFont val="Tahoma"/>
            <family val="2"/>
          </rPr>
          <t>DY:</t>
        </r>
        <r>
          <rPr>
            <sz val="9"/>
            <rFont val="Tahoma"/>
            <family val="2"/>
          </rPr>
          <t xml:space="preserve">
O hafta sinemalara türk filmi programlayan şirket her belirtilen film başına 0,75 puan alır</t>
        </r>
      </text>
    </comment>
    <comment ref="F72" authorId="0">
      <text>
        <r>
          <rPr>
            <b/>
            <sz val="9"/>
            <rFont val="Tahoma"/>
            <family val="2"/>
          </rPr>
          <t>DY:</t>
        </r>
        <r>
          <rPr>
            <sz val="9"/>
            <rFont val="Tahoma"/>
            <family val="2"/>
          </rPr>
          <t xml:space="preserve">
O hafta sinemalara yabancı filmi programlayan şirket her film belirtilen başına 0,25 puan alır</t>
        </r>
      </text>
    </comment>
    <comment ref="G72" authorId="0">
      <text>
        <r>
          <rPr>
            <b/>
            <sz val="9"/>
            <rFont val="Tahoma"/>
            <family val="2"/>
          </rPr>
          <t>DY:</t>
        </r>
        <r>
          <rPr>
            <sz val="9"/>
            <rFont val="Tahoma"/>
            <family val="2"/>
          </rPr>
          <t xml:space="preserve">
O hafta sinemalara bir türk filmini ilk kez programlayan şirket her belirtilen film başına 3 puan alır</t>
        </r>
      </text>
    </comment>
    <comment ref="H72" authorId="0">
      <text>
        <r>
          <rPr>
            <b/>
            <sz val="9"/>
            <rFont val="Tahoma"/>
            <family val="2"/>
          </rPr>
          <t>DY:</t>
        </r>
        <r>
          <rPr>
            <sz val="9"/>
            <rFont val="Tahoma"/>
            <family val="2"/>
          </rPr>
          <t xml:space="preserve">
O hafta sinemalara bir yabancı filmi ilk kez programlayan şirket her belirtilen film başına 2 puan alır</t>
        </r>
      </text>
    </comment>
    <comment ref="I72" authorId="0">
      <text>
        <r>
          <rPr>
            <b/>
            <sz val="9"/>
            <rFont val="Tahoma"/>
            <family val="2"/>
          </rPr>
          <t>DY:</t>
        </r>
        <r>
          <rPr>
            <sz val="9"/>
            <rFont val="Tahoma"/>
            <family val="2"/>
          </rPr>
          <t xml:space="preserve">
O hafta sinemalara en fazla film programlayan şirketlere 0,75 puan verilir</t>
        </r>
      </text>
    </comment>
    <comment ref="J7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7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7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7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7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7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7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7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7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7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7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87" authorId="0">
      <text>
        <r>
          <rPr>
            <b/>
            <sz val="9"/>
            <rFont val="Tahoma"/>
            <family val="2"/>
          </rPr>
          <t>DY:</t>
        </r>
        <r>
          <rPr>
            <sz val="9"/>
            <rFont val="Tahoma"/>
            <family val="2"/>
          </rPr>
          <t xml:space="preserve">
O hafta sinemalara türk filmi programlayan şirket her belirtilen film başına 0,75 puan alır</t>
        </r>
      </text>
    </comment>
    <comment ref="F87" authorId="0">
      <text>
        <r>
          <rPr>
            <b/>
            <sz val="9"/>
            <rFont val="Tahoma"/>
            <family val="2"/>
          </rPr>
          <t>DY:</t>
        </r>
        <r>
          <rPr>
            <sz val="9"/>
            <rFont val="Tahoma"/>
            <family val="2"/>
          </rPr>
          <t xml:space="preserve">
O hafta sinemalara yabancı filmi programlayan şirket her film belirtilen başına 0,25 puan alır</t>
        </r>
      </text>
    </comment>
    <comment ref="G87" authorId="0">
      <text>
        <r>
          <rPr>
            <b/>
            <sz val="9"/>
            <rFont val="Tahoma"/>
            <family val="2"/>
          </rPr>
          <t>DY:</t>
        </r>
        <r>
          <rPr>
            <sz val="9"/>
            <rFont val="Tahoma"/>
            <family val="2"/>
          </rPr>
          <t xml:space="preserve">
O hafta sinemalara bir türk filmini ilk kez programlayan şirket her belirtilen film başına 3 puan alır</t>
        </r>
      </text>
    </comment>
    <comment ref="H87" authorId="0">
      <text>
        <r>
          <rPr>
            <b/>
            <sz val="9"/>
            <rFont val="Tahoma"/>
            <family val="2"/>
          </rPr>
          <t>DY:</t>
        </r>
        <r>
          <rPr>
            <sz val="9"/>
            <rFont val="Tahoma"/>
            <family val="2"/>
          </rPr>
          <t xml:space="preserve">
O hafta sinemalara bir yabancı filmi ilk kez programlayan şirket her belirtilen film başına 2 puan alır</t>
        </r>
      </text>
    </comment>
    <comment ref="I87" authorId="0">
      <text>
        <r>
          <rPr>
            <b/>
            <sz val="9"/>
            <rFont val="Tahoma"/>
            <family val="2"/>
          </rPr>
          <t>DY:</t>
        </r>
        <r>
          <rPr>
            <sz val="9"/>
            <rFont val="Tahoma"/>
            <family val="2"/>
          </rPr>
          <t xml:space="preserve">
O hafta sinemalara en fazla film programlayan şirketlere 0,75 puan verilir</t>
        </r>
      </text>
    </comment>
    <comment ref="J8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8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8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8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8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8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8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8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8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8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8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02" authorId="0">
      <text>
        <r>
          <rPr>
            <b/>
            <sz val="9"/>
            <rFont val="Tahoma"/>
            <family val="2"/>
          </rPr>
          <t>DY:</t>
        </r>
        <r>
          <rPr>
            <sz val="9"/>
            <rFont val="Tahoma"/>
            <family val="2"/>
          </rPr>
          <t xml:space="preserve">
O hafta sinemalara türk filmi programlayan şirket her belirtilen film başına 0,75 puan alır</t>
        </r>
      </text>
    </comment>
    <comment ref="F102" authorId="0">
      <text>
        <r>
          <rPr>
            <b/>
            <sz val="9"/>
            <rFont val="Tahoma"/>
            <family val="2"/>
          </rPr>
          <t>DY:</t>
        </r>
        <r>
          <rPr>
            <sz val="9"/>
            <rFont val="Tahoma"/>
            <family val="2"/>
          </rPr>
          <t xml:space="preserve">
O hafta sinemalara yabancı filmi programlayan şirket her film belirtilen başına 0,25 puan alır</t>
        </r>
      </text>
    </comment>
    <comment ref="G102" authorId="0">
      <text>
        <r>
          <rPr>
            <b/>
            <sz val="9"/>
            <rFont val="Tahoma"/>
            <family val="2"/>
          </rPr>
          <t>DY:</t>
        </r>
        <r>
          <rPr>
            <sz val="9"/>
            <rFont val="Tahoma"/>
            <family val="2"/>
          </rPr>
          <t xml:space="preserve">
O hafta sinemalara bir türk filmini ilk kez programlayan şirket her belirtilen film başına 3 puan alır</t>
        </r>
      </text>
    </comment>
    <comment ref="H102" authorId="0">
      <text>
        <r>
          <rPr>
            <b/>
            <sz val="9"/>
            <rFont val="Tahoma"/>
            <family val="2"/>
          </rPr>
          <t>DY:</t>
        </r>
        <r>
          <rPr>
            <sz val="9"/>
            <rFont val="Tahoma"/>
            <family val="2"/>
          </rPr>
          <t xml:space="preserve">
O hafta sinemalara bir yabancı filmi ilk kez programlayan şirket her belirtilen film başına 2 puan alır</t>
        </r>
      </text>
    </comment>
    <comment ref="I102" authorId="0">
      <text>
        <r>
          <rPr>
            <b/>
            <sz val="9"/>
            <rFont val="Tahoma"/>
            <family val="2"/>
          </rPr>
          <t>DY:</t>
        </r>
        <r>
          <rPr>
            <sz val="9"/>
            <rFont val="Tahoma"/>
            <family val="2"/>
          </rPr>
          <t xml:space="preserve">
O hafta sinemalara en fazla film programlayan şirketlere 0,75 puan verilir</t>
        </r>
      </text>
    </comment>
    <comment ref="J10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0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0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0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0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0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0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0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0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0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0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17" authorId="0">
      <text>
        <r>
          <rPr>
            <b/>
            <sz val="9"/>
            <rFont val="Tahoma"/>
            <family val="2"/>
          </rPr>
          <t>DY:</t>
        </r>
        <r>
          <rPr>
            <sz val="9"/>
            <rFont val="Tahoma"/>
            <family val="2"/>
          </rPr>
          <t xml:space="preserve">
O hafta sinemalara türk filmi programlayan şirket her belirtilen film başına 0,75 puan alır</t>
        </r>
      </text>
    </comment>
    <comment ref="F117" authorId="0">
      <text>
        <r>
          <rPr>
            <b/>
            <sz val="9"/>
            <rFont val="Tahoma"/>
            <family val="2"/>
          </rPr>
          <t>DY:</t>
        </r>
        <r>
          <rPr>
            <sz val="9"/>
            <rFont val="Tahoma"/>
            <family val="2"/>
          </rPr>
          <t xml:space="preserve">
O hafta sinemalara yabancı filmi programlayan şirket her film belirtilen başına 0,25 puan alır</t>
        </r>
      </text>
    </comment>
    <comment ref="G117" authorId="0">
      <text>
        <r>
          <rPr>
            <b/>
            <sz val="9"/>
            <rFont val="Tahoma"/>
            <family val="2"/>
          </rPr>
          <t>DY:</t>
        </r>
        <r>
          <rPr>
            <sz val="9"/>
            <rFont val="Tahoma"/>
            <family val="2"/>
          </rPr>
          <t xml:space="preserve">
O hafta sinemalara bir türk filmini ilk kez programlayan şirket her belirtilen film başına 3 puan alır</t>
        </r>
      </text>
    </comment>
    <comment ref="H117" authorId="0">
      <text>
        <r>
          <rPr>
            <b/>
            <sz val="9"/>
            <rFont val="Tahoma"/>
            <family val="2"/>
          </rPr>
          <t>DY:</t>
        </r>
        <r>
          <rPr>
            <sz val="9"/>
            <rFont val="Tahoma"/>
            <family val="2"/>
          </rPr>
          <t xml:space="preserve">
O hafta sinemalara bir yabancı filmi ilk kez programlayan şirket her belirtilen film başına 2 puan alır</t>
        </r>
      </text>
    </comment>
    <comment ref="I117" authorId="0">
      <text>
        <r>
          <rPr>
            <b/>
            <sz val="9"/>
            <rFont val="Tahoma"/>
            <family val="2"/>
          </rPr>
          <t>DY:</t>
        </r>
        <r>
          <rPr>
            <sz val="9"/>
            <rFont val="Tahoma"/>
            <family val="2"/>
          </rPr>
          <t xml:space="preserve">
O hafta sinemalara en fazla film programlayan şirketlere 0,75 puan verilir</t>
        </r>
      </text>
    </comment>
    <comment ref="J11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1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1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1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1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1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1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1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1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1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1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<sst xmlns="http://schemas.openxmlformats.org/spreadsheetml/2006/main" count="4852" uniqueCount="771">
  <si>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</si>
  <si>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</si>
  <si>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</si>
  <si>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</si>
  <si>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</si>
  <si>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</si>
  <si>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</si>
  <si>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</si>
  <si>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</si>
  <si>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</si>
  <si>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</si>
  <si>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</si>
  <si>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</si>
  <si>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</si>
  <si>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</si>
  <si>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</si>
  <si>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</si>
  <si>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</si>
  <si>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</si>
  <si>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</si>
  <si>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</si>
  <si>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</si>
  <si>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</si>
  <si>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</si>
  <si>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</si>
  <si>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</si>
  <si>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</si>
  <si>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</si>
  <si>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</si>
  <si>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</si>
  <si>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</si>
  <si>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</si>
  <si>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</si>
  <si>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</si>
  <si>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</si>
  <si>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</si>
  <si>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</si>
  <si>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</si>
  <si>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</si>
  <si>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</si>
  <si>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</si>
  <si>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</si>
  <si>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</si>
  <si>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</si>
  <si>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</si>
  <si>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</si>
  <si>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</si>
  <si>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</si>
  <si>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</si>
  <si>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</si>
  <si>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</si>
  <si>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</si>
  <si>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</si>
  <si>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</si>
  <si>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</si>
  <si>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</si>
  <si>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</si>
  <si>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</si>
  <si>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</si>
  <si>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</si>
  <si>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</si>
  <si>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</si>
  <si>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</si>
  <si>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</si>
  <si>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</si>
  <si>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</si>
  <si>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</si>
  <si>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</si>
  <si>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</si>
  <si>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</si>
  <si>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</si>
  <si>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</si>
  <si>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</si>
  <si>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</si>
  <si>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</si>
  <si>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</si>
  <si>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</si>
  <si>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</si>
  <si>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</si>
  <si>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</si>
  <si>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</si>
  <si>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</si>
  <si>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</si>
  <si>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</si>
  <si>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</si>
  <si>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</si>
  <si>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</si>
  <si>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</si>
  <si>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</si>
  <si>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</si>
  <si>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</si>
  <si>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</si>
  <si>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</si>
  <si>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</si>
  <si>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</si>
  <si>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</si>
  <si>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</si>
  <si>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</si>
  <si>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</si>
  <si>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</si>
  <si>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</si>
  <si>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</si>
  <si>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</si>
  <si>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</si>
  <si>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</si>
  <si>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</si>
  <si>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</si>
  <si>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</si>
  <si>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</si>
  <si>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</si>
  <si>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</si>
  <si>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</si>
  <si>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</si>
  <si>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</si>
  <si>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</si>
  <si>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</si>
  <si>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</si>
  <si>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</si>
  <si>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</si>
  <si>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</si>
  <si>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</si>
  <si>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</si>
  <si>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</si>
  <si>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</si>
  <si>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</si>
  <si>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</si>
  <si>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</si>
  <si>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</si>
  <si>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</si>
  <si>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</si>
  <si>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</si>
  <si>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</si>
  <si>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</si>
  <si>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</si>
  <si>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</si>
  <si>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</si>
  <si>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</si>
  <si>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</si>
  <si>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</si>
  <si>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</si>
  <si>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</si>
  <si>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</si>
  <si>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</si>
  <si>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</si>
  <si>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</si>
  <si>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</si>
  <si>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</si>
  <si>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</si>
  <si>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</si>
  <si>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</si>
  <si>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</si>
  <si>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</si>
  <si>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</si>
  <si>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</si>
  <si>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</si>
  <si>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</si>
  <si>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</si>
  <si>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</si>
  <si>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</si>
  <si>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</si>
  <si>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</si>
  <si>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</si>
  <si>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</si>
  <si>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</si>
  <si>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</si>
  <si>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</si>
  <si>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</si>
  <si>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</si>
  <si>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</si>
  <si>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</si>
  <si>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</si>
  <si>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</si>
  <si>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</si>
  <si>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</si>
  <si>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</si>
  <si>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</si>
  <si>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</si>
  <si>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</si>
  <si>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</si>
  <si>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</si>
  <si>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</si>
  <si>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</si>
  <si>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</si>
  <si>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</si>
  <si>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</si>
  <si>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</si>
  <si>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</si>
  <si>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</si>
  <si>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</si>
  <si>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</si>
  <si>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</si>
  <si>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</si>
  <si>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</si>
  <si>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</si>
  <si>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</si>
  <si>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</si>
  <si>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</si>
  <si>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</si>
  <si>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</si>
  <si>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</si>
  <si>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</si>
  <si>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</si>
  <si>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</si>
  <si>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</si>
  <si>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</si>
  <si>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</si>
  <si>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</si>
  <si>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</si>
  <si>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</si>
  <si>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</si>
  <si>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</si>
  <si>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</si>
  <si>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</si>
  <si>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</si>
  <si>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</si>
  <si>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</si>
  <si>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</si>
  <si>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</si>
  <si>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</si>
  <si>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</si>
  <si>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</si>
  <si>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</si>
  <si>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</si>
  <si>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</si>
  <si>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</si>
  <si>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</si>
  <si>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</si>
  <si>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</si>
  <si>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</si>
  <si>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</si>
  <si>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</si>
  <si>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</si>
  <si>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</si>
  <si>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</si>
  <si>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</si>
  <si>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</si>
  <si>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</si>
  <si>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</si>
  <si>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</si>
  <si>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</si>
  <si>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</si>
  <si>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</si>
  <si>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</si>
  <si>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</si>
  <si>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</si>
  <si>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</si>
  <si>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</si>
  <si>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Wild Bunch</t>
  </si>
  <si>
    <t>Yeni Bir Film</t>
  </si>
  <si>
    <t>MADE IN DAGENHAM - WE WANT SEX</t>
  </si>
  <si>
    <t>Audley Films</t>
  </si>
  <si>
    <t>DE HELAASHEID DER DINGEN - THE MISFORTUNATES</t>
  </si>
  <si>
    <t>Favourite Films</t>
  </si>
  <si>
    <t>GOETHE</t>
  </si>
  <si>
    <t>Senator</t>
  </si>
  <si>
    <t>GOETHE'NİN İLK AŞKI</t>
  </si>
  <si>
    <t>TAMBIEN LA ILUVIA - EVEN THE RAIN</t>
  </si>
  <si>
    <t>Mandarin</t>
  </si>
  <si>
    <t>JOAEIYE NADER AZ SIMIN - A SEPARATION</t>
  </si>
  <si>
    <t>Asghar Farhadi</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</si>
  <si>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</si>
  <si>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</si>
  <si>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</si>
  <si>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</si>
  <si>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</si>
  <si>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</si>
  <si>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</si>
  <si>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</si>
  <si>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</si>
  <si>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</si>
  <si>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</si>
  <si>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</si>
  <si>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</si>
  <si>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</si>
  <si>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</si>
  <si>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</si>
  <si>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</si>
  <si>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</si>
  <si>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</si>
  <si>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</si>
  <si>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</si>
  <si>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</si>
  <si>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</si>
  <si>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</si>
  <si>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</si>
  <si>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</si>
  <si>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</si>
  <si>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</si>
  <si>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</si>
  <si>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Crest Animation</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</si>
  <si>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</si>
  <si>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</si>
  <si>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</si>
  <si>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</si>
  <si>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</si>
  <si>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</si>
  <si>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</si>
  <si>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</si>
  <si>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</si>
  <si>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</si>
  <si>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</si>
  <si>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</si>
  <si>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</si>
  <si>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</si>
  <si>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</si>
  <si>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</si>
  <si>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</si>
  <si>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</si>
  <si>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</si>
  <si>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</si>
  <si>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</si>
  <si>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</si>
  <si>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</si>
  <si>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</si>
  <si>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</si>
  <si>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</si>
  <si>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</si>
  <si>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</si>
  <si>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</si>
  <si>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</si>
  <si>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</si>
  <si>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</si>
  <si>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</si>
  <si>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</si>
  <si>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</si>
  <si>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</si>
  <si>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</si>
  <si>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</si>
  <si>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</si>
  <si>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</si>
  <si>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</si>
  <si>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</si>
  <si>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</si>
  <si>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</si>
  <si>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</si>
  <si>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</si>
  <si>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</si>
  <si>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</si>
  <si>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</si>
  <si>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</si>
  <si>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</si>
  <si>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</si>
  <si>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</si>
  <si>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</si>
  <si>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</si>
  <si>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</si>
  <si>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</si>
  <si>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</si>
  <si>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</si>
  <si>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t>
  </si>
  <si>
    <t>Lumiq Studios</t>
  </si>
  <si>
    <t>SAFTİRİK GREG'İN GÜNLÜĞÜ: RODRICK KURALLARI</t>
  </si>
  <si>
    <t>KARANLIK SAAT</t>
  </si>
  <si>
    <t>KAR BEYAZ</t>
  </si>
  <si>
    <t>RIO</t>
  </si>
  <si>
    <t>PLANET 51</t>
  </si>
  <si>
    <t>SAÇ</t>
  </si>
  <si>
    <t>ALVIN &amp; THE CHIPMUNKS 2</t>
  </si>
  <si>
    <t>OPEN SEASON 2</t>
  </si>
  <si>
    <t>ÇILGIN DOSTLAR 2</t>
  </si>
  <si>
    <t>Sony Pictures</t>
  </si>
  <si>
    <t>ALVİN VE SİNCAPLAR 2</t>
  </si>
  <si>
    <t>GEZEGEN 51</t>
  </si>
  <si>
    <t>AŞIRICILAR</t>
  </si>
  <si>
    <t>Ağustos</t>
  </si>
  <si>
    <t>Ilion Animation</t>
  </si>
  <si>
    <t>Zuzi Film</t>
  </si>
  <si>
    <t>Studio Gibli</t>
  </si>
  <si>
    <t>KARI-GURASHI NO ARIETTI - THE BORROWERS</t>
  </si>
  <si>
    <r>
      <t xml:space="preserve">DAĞITIMCI ŞİRKETLER PERFORMANS LİGİ - </t>
    </r>
    <r>
      <rPr>
        <b/>
        <sz val="12"/>
        <color indexed="10"/>
        <rFont val="Arial"/>
        <family val="2"/>
      </rPr>
      <t>2. HAFTA (KAPANIŞ) 06 - 12.01.2012</t>
    </r>
  </si>
  <si>
    <t>CHANTIER FILMS</t>
  </si>
  <si>
    <t>73</t>
  </si>
  <si>
    <t>46</t>
  </si>
  <si>
    <t>EYYVAH EYVAH 2</t>
  </si>
  <si>
    <t>MELANCHOLIA</t>
  </si>
  <si>
    <t>MELANKOLİ</t>
  </si>
  <si>
    <t>Zentropa</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</si>
  <si>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</si>
  <si>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</si>
  <si>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</si>
  <si>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</si>
  <si>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</si>
  <si>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</si>
  <si>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</si>
  <si>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</si>
  <si>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</si>
  <si>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</si>
  <si>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</si>
  <si>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</si>
  <si>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</si>
  <si>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</si>
  <si>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</si>
  <si>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</si>
  <si>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</si>
  <si>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Chantier Films</t>
  </si>
  <si>
    <t>DEMİR LEYDİ</t>
  </si>
  <si>
    <t>Film 4</t>
  </si>
  <si>
    <t>Tiglom</t>
  </si>
  <si>
    <t>KAYBEDENLER KULÜBÜ</t>
  </si>
  <si>
    <t>JANE EYRE</t>
  </si>
  <si>
    <t>GULLIVER'S TRAVEL</t>
  </si>
  <si>
    <t>DREI - THREE - 3</t>
  </si>
  <si>
    <t>ÜÇ</t>
  </si>
  <si>
    <t>GULLIVER'İN GEZİLERİ</t>
  </si>
  <si>
    <t>X-Filme Creative</t>
  </si>
  <si>
    <t>Ruby</t>
  </si>
  <si>
    <r>
      <t xml:space="preserve">DAĞITIMCI ŞİRKETLER PERFORMANS LİGİ - </t>
    </r>
    <r>
      <rPr>
        <b/>
        <sz val="12"/>
        <color indexed="10"/>
        <rFont val="Arial"/>
        <family val="2"/>
      </rPr>
      <t>3. HAFTA (KAPANIŞ) 13 - 19.01.2012</t>
    </r>
  </si>
  <si>
    <t>53</t>
  </si>
  <si>
    <t>63</t>
  </si>
  <si>
    <t>VİZYON</t>
  </si>
  <si>
    <t>ÇIKIŞ</t>
  </si>
  <si>
    <t>SON</t>
  </si>
  <si>
    <t>ETİKETLER</t>
  </si>
  <si>
    <t>FİLMİN ORİJİNAL ADI</t>
  </si>
  <si>
    <t>YAPIM</t>
  </si>
  <si>
    <t>İTHALAT</t>
  </si>
  <si>
    <t>TÜRKÇE İSİM</t>
  </si>
  <si>
    <t>TARİHİ</t>
  </si>
  <si>
    <t>İŞLETME</t>
  </si>
  <si>
    <t>KOPYASI</t>
  </si>
  <si>
    <t>ORT.</t>
  </si>
  <si>
    <t>GÖSTERİM</t>
  </si>
  <si>
    <t>Europa Corp.</t>
  </si>
  <si>
    <t>HAFTALIK</t>
  </si>
  <si>
    <t>FİLMİN ADI</t>
  </si>
  <si>
    <t>TRANSFORMERS 3: DARK OF THE MOON</t>
  </si>
  <si>
    <t>İÇİMDEKİ ŞEYTAN</t>
  </si>
  <si>
    <t>WEE BOUGHT A ZOO</t>
  </si>
  <si>
    <t>DÜŞLER BAHÇESİ</t>
  </si>
  <si>
    <t>TRANSFORMERS: AY'IN KARANLIK YÜZÜ</t>
  </si>
  <si>
    <t>HAPPY FEET TWO</t>
  </si>
  <si>
    <t>NEŞELİ AYAKLAR 2</t>
  </si>
  <si>
    <t>Animal Logic</t>
  </si>
  <si>
    <t>THE DEVIL INSIDE</t>
  </si>
  <si>
    <t>THE MIDNIGHT IN PARIS</t>
  </si>
  <si>
    <t>Imagina</t>
  </si>
  <si>
    <t>PARİS'TE GECEYARISI</t>
  </si>
  <si>
    <t>M6 Films</t>
  </si>
  <si>
    <t>THE DOUBLE</t>
  </si>
  <si>
    <t>İKİLİ OYUN</t>
  </si>
  <si>
    <t>Hyde Park</t>
  </si>
  <si>
    <t>GNOMEO &amp; JULIET</t>
  </si>
  <si>
    <t>IMPY'S WONDERLAND</t>
  </si>
  <si>
    <t>WATER FOR ELEPHANTS</t>
  </si>
  <si>
    <t>MR POPPER'S PENGUINS</t>
  </si>
  <si>
    <t>NIKO &amp; THE WAY TO THE STARS</t>
  </si>
  <si>
    <t>GNOMES AND TROLLS: THE SECRET CHAMBER</t>
  </si>
  <si>
    <t>ICE AGE 3: DAWN OF THE DINOSAURS</t>
  </si>
  <si>
    <t>SILENCE OF LOVE</t>
  </si>
  <si>
    <t>TELEPOOL</t>
  </si>
  <si>
    <t>CINEMATEQUE</t>
  </si>
  <si>
    <t>AŞKIN BÜYÜSÜ</t>
  </si>
  <si>
    <t>BABAMIN PENGUENLERİ</t>
  </si>
  <si>
    <t>NİKO: YILDIZLARA YOLCULUK</t>
  </si>
  <si>
    <t>CÜCELER DEVLERE KARŞI: GİZLİ ODA</t>
  </si>
  <si>
    <t>BUZ DEVRİ: DİNOZORLARIN ŞAFAĞI</t>
  </si>
  <si>
    <t>AŞKIN SESSİZLİĞİ</t>
  </si>
  <si>
    <t>İSTANBUL</t>
  </si>
  <si>
    <t>Touchstone</t>
  </si>
  <si>
    <t>Odyssey</t>
  </si>
  <si>
    <t>Fox 2000</t>
  </si>
  <si>
    <t>20th Century</t>
  </si>
  <si>
    <t>Union General</t>
  </si>
  <si>
    <t>Filmfabrik</t>
  </si>
  <si>
    <t>SEVİMLİ DİNOZOR TATİLDE</t>
  </si>
  <si>
    <t>ASTERIX ET LES VIKINGS</t>
  </si>
  <si>
    <t>ASTERİKS VİKİNGLER'E KARŞI</t>
  </si>
  <si>
    <t>SEVİMLİ CÜCELER CİNO VE JÜLYET</t>
  </si>
  <si>
    <t>NARNİA GÜNLÜKLERİ: ŞAFAK YILDIZ'ININ YOLCULUĞU</t>
  </si>
  <si>
    <t>ISZTANBUL</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</si>
  <si>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</si>
  <si>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</si>
  <si>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</si>
  <si>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</si>
  <si>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</si>
  <si>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</si>
  <si>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</si>
  <si>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</si>
  <si>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</si>
  <si>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</si>
  <si>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</si>
  <si>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</si>
  <si>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</si>
  <si>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</si>
  <si>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</si>
  <si>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</si>
  <si>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</si>
  <si>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</si>
  <si>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</si>
  <si>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</si>
  <si>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</si>
  <si>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</si>
  <si>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</si>
  <si>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</si>
  <si>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</si>
  <si>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</si>
  <si>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</si>
  <si>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</si>
  <si>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</si>
  <si>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</si>
  <si>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</si>
  <si>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</si>
  <si>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</si>
  <si>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</si>
  <si>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</si>
  <si>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</si>
  <si>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</si>
  <si>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</si>
  <si>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</si>
  <si>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</si>
  <si>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</si>
  <si>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</si>
  <si>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</si>
  <si>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</si>
  <si>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</si>
  <si>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</si>
  <si>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</si>
  <si>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</si>
  <si>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</si>
  <si>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</si>
  <si>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54</t>
  </si>
  <si>
    <t>55</t>
  </si>
  <si>
    <t>56</t>
  </si>
  <si>
    <t>57</t>
  </si>
  <si>
    <t>58</t>
  </si>
  <si>
    <t>60</t>
  </si>
  <si>
    <t>61</t>
  </si>
  <si>
    <t>62</t>
  </si>
  <si>
    <t>64</t>
  </si>
  <si>
    <t>65</t>
  </si>
  <si>
    <t>66</t>
  </si>
  <si>
    <t>67</t>
  </si>
  <si>
    <t>68</t>
  </si>
  <si>
    <t>69</t>
  </si>
  <si>
    <t>70</t>
  </si>
  <si>
    <t>71</t>
  </si>
  <si>
    <t>72</t>
  </si>
  <si>
    <t>THE CHRONICLES OF NARNIA: THE VOVAYE OF THE DAWN TREADER</t>
  </si>
  <si>
    <r>
      <t xml:space="preserve">DAĞITIMCI ŞİRKETLER PERFORMANS LİGİ - </t>
    </r>
    <r>
      <rPr>
        <b/>
        <sz val="12"/>
        <color indexed="10"/>
        <rFont val="Arial"/>
        <family val="2"/>
      </rPr>
      <t>4</t>
    </r>
    <r>
      <rPr>
        <b/>
        <sz val="12"/>
        <color indexed="10"/>
        <rFont val="Arial"/>
        <family val="2"/>
      </rPr>
      <t>. HAFTA (KAPANIŞ) 20-26.01.2012</t>
    </r>
  </si>
  <si>
    <t>NİZAM EREN İLETİŞİM</t>
  </si>
  <si>
    <t>CAPTAN AMERICA: THE FIRST AVENGER</t>
  </si>
  <si>
    <t>Marvel Enterprise</t>
  </si>
  <si>
    <t>İLK YENİLMEZ: KAPTAN AMERİKA</t>
  </si>
  <si>
    <t>STAKE LAND</t>
  </si>
  <si>
    <t>Glass Eye Pix</t>
  </si>
  <si>
    <t>VAMPİR CEHENNEMİ</t>
  </si>
  <si>
    <t>CONTAGION</t>
  </si>
  <si>
    <t>SALGIN</t>
  </si>
  <si>
    <t>BİZİM BÜYÜK ÇARESİZLİĞİMİZ</t>
  </si>
  <si>
    <t>Bulut Film</t>
  </si>
  <si>
    <t>SOMEWHERE</t>
  </si>
  <si>
    <t>Focus</t>
  </si>
  <si>
    <t>BAŞKA BİR YERDE</t>
  </si>
  <si>
    <t>THE KIDS ARE ALL RIGHT</t>
  </si>
  <si>
    <t>Mandalay</t>
  </si>
  <si>
    <t>İKİ KADIN BİR ERKEK</t>
  </si>
  <si>
    <t>KARANLIKTAN KORKMA</t>
  </si>
  <si>
    <t>DON'T BE AFRAID OF THE DARK</t>
  </si>
  <si>
    <t>Pathe</t>
  </si>
  <si>
    <t>HOODWINKED TOO! HOOD VS. EVIL</t>
  </si>
  <si>
    <t>HW Two</t>
  </si>
  <si>
    <t>Film Pop</t>
  </si>
  <si>
    <t>KIRMIZI BAŞLIKLI KIZ KÖTÜLERE KARŞI</t>
  </si>
  <si>
    <t>THE ARTIST</t>
  </si>
  <si>
    <t>ARTİST</t>
  </si>
  <si>
    <t>Le Petit Reine</t>
  </si>
  <si>
    <t>BERLİN KAPLANI</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</si>
  <si>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</si>
  <si>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</si>
  <si>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</si>
  <si>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</si>
  <si>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</si>
  <si>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</si>
  <si>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</si>
  <si>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</si>
  <si>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</si>
  <si>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</si>
  <si>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</si>
  <si>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</si>
  <si>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</si>
  <si>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</si>
  <si>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</si>
  <si>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</si>
  <si>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</si>
  <si>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</si>
  <si>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</si>
  <si>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</si>
  <si>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</si>
  <si>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</si>
  <si>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</si>
  <si>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</si>
  <si>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</si>
  <si>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</si>
  <si>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</si>
  <si>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</si>
  <si>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</si>
  <si>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</si>
  <si>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</si>
  <si>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</si>
  <si>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</si>
  <si>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</si>
  <si>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</si>
  <si>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</si>
  <si>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</si>
  <si>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</si>
  <si>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</si>
  <si>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</si>
  <si>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</si>
  <si>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</si>
  <si>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</si>
  <si>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</si>
  <si>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</si>
  <si>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</si>
  <si>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</si>
  <si>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</si>
  <si>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</si>
  <si>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</si>
  <si>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</si>
  <si>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</si>
  <si>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</si>
  <si>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</si>
  <si>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</si>
  <si>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</si>
  <si>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OCAK</t>
  </si>
  <si>
    <r>
      <t xml:space="preserve">DAĞITIMCI ŞİRKETLER PERFORMANS LİGİ - </t>
    </r>
    <r>
      <rPr>
        <b/>
        <sz val="12"/>
        <color indexed="10"/>
        <rFont val="Arial"/>
        <family val="2"/>
      </rPr>
      <t>5</t>
    </r>
    <r>
      <rPr>
        <b/>
        <sz val="12"/>
        <color indexed="10"/>
        <rFont val="Arial"/>
        <family val="2"/>
      </rPr>
      <t>. HAFTA (KAPANIŞ) 27.01.-02.02.2012</t>
    </r>
  </si>
  <si>
    <t>İNCİR REÇELİ</t>
  </si>
  <si>
    <t>AA Film</t>
  </si>
  <si>
    <t>KURTLAR VADİSİ FİLİSTİN</t>
  </si>
  <si>
    <t>130</t>
  </si>
  <si>
    <t>SHAME</t>
  </si>
  <si>
    <t>WE NEED TALK ABOUT KEVIN</t>
  </si>
  <si>
    <t>GÜZEL GÜNLER GÖRECEĞİZ</t>
  </si>
  <si>
    <t>WAR HORSE</t>
  </si>
  <si>
    <t>Disney</t>
  </si>
  <si>
    <t>SAVAŞ ATI</t>
  </si>
  <si>
    <t>UNDERWORLD: AWAKENING</t>
  </si>
  <si>
    <t>UTANÇ</t>
  </si>
  <si>
    <t>BBC Films</t>
  </si>
  <si>
    <t>KEVIN HAKKINDA KONUŞMALIYIZ</t>
  </si>
  <si>
    <t>Onaltıdokuz</t>
  </si>
  <si>
    <t xml:space="preserve">Ladybirds </t>
  </si>
  <si>
    <t>Screen Games</t>
  </si>
  <si>
    <t>131</t>
  </si>
  <si>
    <t>132</t>
  </si>
  <si>
    <t>133</t>
  </si>
  <si>
    <t>134</t>
  </si>
  <si>
    <t>135</t>
  </si>
  <si>
    <t>136</t>
  </si>
  <si>
    <t>KARANLIKLAR ÜLKESİ: UYANIŞ</t>
  </si>
  <si>
    <t>ÜNYE DE FATSA ARASI</t>
  </si>
  <si>
    <t>Esra Alkan</t>
  </si>
  <si>
    <t>137</t>
  </si>
  <si>
    <r>
      <t xml:space="preserve">DAĞITIMCI ŞİRKETLER PERFORMANS LİGİ - </t>
    </r>
    <r>
      <rPr>
        <b/>
        <sz val="12"/>
        <color indexed="10"/>
        <rFont val="Arial"/>
        <family val="2"/>
      </rPr>
      <t>6</t>
    </r>
    <r>
      <rPr>
        <b/>
        <sz val="12"/>
        <color indexed="10"/>
        <rFont val="Arial"/>
        <family val="2"/>
      </rPr>
      <t>. HAFTA (KAPANIŞ) 03 - 09.02.2012</t>
    </r>
  </si>
  <si>
    <t>L'AGE DE RAISON</t>
  </si>
  <si>
    <t>NIGHT AT MUSEUM: BATTLE OF THE SMITHSONIAN</t>
  </si>
  <si>
    <t>MÜZEDE BİR GECE 2</t>
  </si>
  <si>
    <t>ZEFİR</t>
  </si>
  <si>
    <t>Filmik</t>
  </si>
  <si>
    <t>AŞKA FIRSAT VER</t>
  </si>
  <si>
    <t>Nord-Ouest</t>
  </si>
  <si>
    <t>EŞRUHUMUN EŞZAMANI</t>
  </si>
  <si>
    <t>138</t>
  </si>
  <si>
    <t>139</t>
  </si>
  <si>
    <t>140</t>
  </si>
  <si>
    <t>AŞK TESADÜFLERİ SEVER</t>
  </si>
  <si>
    <t>KÖSTEBEK</t>
  </si>
  <si>
    <t>TINKER TAILOR SOLDIER SPY</t>
  </si>
  <si>
    <t>Studio Channel</t>
  </si>
  <si>
    <t>DRIVE</t>
  </si>
  <si>
    <t>Sıerra Affınıty</t>
  </si>
  <si>
    <t>SÜRÜCÜ</t>
  </si>
  <si>
    <t>MY WEEK WITH MARILY</t>
  </si>
  <si>
    <t>SAFE HOUSE</t>
  </si>
  <si>
    <t>THE HELP</t>
  </si>
  <si>
    <t>DÜŞMANINI KORURKEN</t>
  </si>
  <si>
    <t>DUYGULARIN RENGİ</t>
  </si>
  <si>
    <t>Intrepid Pictures</t>
  </si>
  <si>
    <t>Weinstein Company</t>
  </si>
  <si>
    <t>MARILYN İLE BİR HAFTA</t>
  </si>
  <si>
    <t>JACK AND JILL</t>
  </si>
  <si>
    <t>Broken Road Pictures</t>
  </si>
  <si>
    <t>JACK VE JILL</t>
  </si>
  <si>
    <t>141</t>
  </si>
  <si>
    <t>142</t>
  </si>
  <si>
    <t>143</t>
  </si>
  <si>
    <t>144</t>
  </si>
  <si>
    <t>145</t>
  </si>
  <si>
    <t>146</t>
  </si>
  <si>
    <t>147</t>
  </si>
  <si>
    <t>YILDIZ SAVAŞLARI: BÖLÜM 1 - GİZLİ TEHLİKE</t>
  </si>
  <si>
    <t>STAR WARS: EPISODE I - THE PHANTOM MENACE</t>
  </si>
  <si>
    <t>ŞUBAT</t>
  </si>
  <si>
    <r>
      <t xml:space="preserve">DAĞITIMCI ŞİRKETLER PERFORMANS LİGİ - </t>
    </r>
    <r>
      <rPr>
        <b/>
        <sz val="12"/>
        <color indexed="10"/>
        <rFont val="Arial"/>
        <family val="2"/>
      </rPr>
      <t>7</t>
    </r>
    <r>
      <rPr>
        <b/>
        <sz val="12"/>
        <color indexed="10"/>
        <rFont val="Arial"/>
        <family val="2"/>
      </rPr>
      <t>. HAFTA (KAPANIŞ) 10 - 16.02.2012</t>
    </r>
  </si>
  <si>
    <t>NEVER LET ME GO</t>
  </si>
  <si>
    <t>MICROPHONE</t>
  </si>
  <si>
    <t>LET THE RIGHT ONE IN</t>
  </si>
  <si>
    <t>OPEN SEASON 3</t>
  </si>
  <si>
    <t>WIN WIN</t>
  </si>
  <si>
    <t>PRESS</t>
  </si>
  <si>
    <t>BENİ ASLA BIRAKMA</t>
  </si>
  <si>
    <t>KANIMA GİR</t>
  </si>
  <si>
    <t>ÇILGIN DOSTLAR 3</t>
  </si>
  <si>
    <t>Everest Entertainment</t>
  </si>
  <si>
    <t>KAZANANLAR KLÜBÜ</t>
  </si>
  <si>
    <t>Karıncalar Yapım</t>
  </si>
  <si>
    <t>Film-Clinic</t>
  </si>
  <si>
    <t>DNA Films</t>
  </si>
  <si>
    <t>148</t>
  </si>
  <si>
    <t>149</t>
  </si>
  <si>
    <t>150</t>
  </si>
  <si>
    <t>151</t>
  </si>
  <si>
    <t>152</t>
  </si>
  <si>
    <t>153</t>
  </si>
  <si>
    <t>MİKROFON</t>
  </si>
  <si>
    <t>Cinemateque</t>
  </si>
  <si>
    <t>Efti</t>
  </si>
  <si>
    <t>THE MUPPETS</t>
  </si>
  <si>
    <t>MUPPETS</t>
  </si>
  <si>
    <t>FETİH 1453</t>
  </si>
  <si>
    <t>Aksoy Film</t>
  </si>
  <si>
    <t>GHOST RIDER: THE SPIRIT OF VENGEANCE</t>
  </si>
  <si>
    <t>HAYALET SÜRÜCÜ 2</t>
  </si>
  <si>
    <t>154</t>
  </si>
  <si>
    <t>155</t>
  </si>
  <si>
    <t>156</t>
  </si>
  <si>
    <r>
      <t xml:space="preserve">Week / </t>
    </r>
    <r>
      <rPr>
        <b/>
        <sz val="20"/>
        <color indexed="9"/>
        <rFont val="Candara"/>
        <family val="2"/>
      </rPr>
      <t>08</t>
    </r>
    <r>
      <rPr>
        <b/>
        <sz val="20"/>
        <rFont val="Candara"/>
        <family val="2"/>
      </rPr>
      <t xml:space="preserve"> / Hafta: </t>
    </r>
    <r>
      <rPr>
        <b/>
        <u val="single"/>
        <sz val="20"/>
        <rFont val="Candara"/>
        <family val="2"/>
      </rPr>
      <t>17-23.02.2012</t>
    </r>
  </si>
  <si>
    <r>
      <t xml:space="preserve">2012'S EX YEARS RELASES - 2012'DE GÖSTERİLEN ÖNCEKİ YILLARIN VİZYON FİLMLERİ </t>
    </r>
    <r>
      <rPr>
        <b/>
        <sz val="10"/>
        <color indexed="10"/>
        <rFont val="Calibri"/>
        <family val="2"/>
      </rPr>
      <t>30.12.2011 - 23.02.2012</t>
    </r>
  </si>
  <si>
    <r>
      <t xml:space="preserve">2012'NİN YENİ VİZYONLARI GENEL SIRALAMA </t>
    </r>
    <r>
      <rPr>
        <b/>
        <sz val="11"/>
        <color indexed="10"/>
        <rFont val="Calibri"/>
        <family val="2"/>
      </rPr>
      <t>30.12.2011 - 23.02.2012</t>
    </r>
  </si>
  <si>
    <r>
      <t xml:space="preserve">DAĞITIMCI ŞİRKETLER PERFORMANS LİGİ - </t>
    </r>
    <r>
      <rPr>
        <b/>
        <sz val="12"/>
        <color indexed="10"/>
        <rFont val="Arial"/>
        <family val="2"/>
      </rPr>
      <t>8</t>
    </r>
    <r>
      <rPr>
        <b/>
        <sz val="12"/>
        <color indexed="10"/>
        <rFont val="Arial"/>
        <family val="2"/>
      </rPr>
      <t>. HAFTA (KAPANIŞ) 17-23.02.2012</t>
    </r>
  </si>
  <si>
    <r>
      <t xml:space="preserve">DAĞITIMCI ŞİRKETLER PERFORMANS LİGİ - </t>
    </r>
    <r>
      <rPr>
        <b/>
        <sz val="12"/>
        <color indexed="10"/>
        <rFont val="Arial"/>
        <family val="2"/>
      </rPr>
      <t>9</t>
    </r>
    <r>
      <rPr>
        <b/>
        <sz val="12"/>
        <color indexed="10"/>
        <rFont val="Arial"/>
        <family val="2"/>
      </rPr>
      <t>. HAFTA (AÇILIŞ) 24.02.2012</t>
    </r>
  </si>
  <si>
    <r>
      <t xml:space="preserve">2012'DE TÜRKİYE YAPIMLARI GENEL SIRALAMA </t>
    </r>
    <r>
      <rPr>
        <b/>
        <sz val="11"/>
        <color indexed="10"/>
        <rFont val="Calibri"/>
        <family val="2"/>
      </rPr>
      <t>30.12.2011 - 23.02.2012</t>
    </r>
  </si>
  <si>
    <t>72. KOĞUŞ</t>
  </si>
  <si>
    <t>THE GOLDEN COMPASS</t>
  </si>
  <si>
    <t>BAŞKA DİLDE AŞK</t>
  </si>
  <si>
    <t>New Line</t>
  </si>
  <si>
    <t>Prr Prodüksiyon</t>
  </si>
  <si>
    <t>Sasin</t>
  </si>
  <si>
    <t>Altın Pusula</t>
  </si>
  <si>
    <t>157</t>
  </si>
  <si>
    <t>158</t>
  </si>
  <si>
    <t>159</t>
  </si>
  <si>
    <t>160</t>
  </si>
  <si>
    <t>PIRATES OF THE CARIBBEAN: ON STRANGER TIDES</t>
  </si>
  <si>
    <t>KARAYİP KORSANLARI: GİZEMLİ DENİZLERDE</t>
  </si>
  <si>
    <t>RISE OF THE PLANET OF THE APES</t>
  </si>
  <si>
    <t>PERCY JACKSON &amp; THE OLYMPIANS: THE LIGHTNING THIEF</t>
  </si>
  <si>
    <t>BLINDNESS</t>
  </si>
  <si>
    <t>KÖRLÜK</t>
  </si>
  <si>
    <t>PITIRCIK</t>
  </si>
  <si>
    <t>MAYMUNLAR CEHENNEMİ: BAŞLANGIÇ</t>
  </si>
  <si>
    <t>PERCY JACKSON &amp; OLİMPOSLAR: ŞİMŞEK HIRSIZI</t>
  </si>
  <si>
    <t>LE PETIT NICOLAS</t>
  </si>
  <si>
    <t>Fidelite</t>
  </si>
  <si>
    <t>Rhombus</t>
  </si>
  <si>
    <r>
      <t xml:space="preserve">TÜRKİYE'S </t>
    </r>
    <r>
      <rPr>
        <b/>
        <u val="single"/>
        <sz val="40"/>
        <rFont val="Calibri"/>
        <family val="2"/>
      </rPr>
      <t>WEEKEND</t>
    </r>
    <r>
      <rPr>
        <b/>
        <sz val="40"/>
        <rFont val="Calibri"/>
        <family val="2"/>
      </rPr>
      <t xml:space="preserve"> MARKET DATA</t>
    </r>
  </si>
  <si>
    <r>
      <t xml:space="preserve">Weekend / </t>
    </r>
    <r>
      <rPr>
        <b/>
        <sz val="20"/>
        <color indexed="9"/>
        <rFont val="Candara"/>
        <family val="2"/>
      </rPr>
      <t>09</t>
    </r>
    <r>
      <rPr>
        <b/>
        <sz val="20"/>
        <rFont val="Candara"/>
        <family val="2"/>
      </rPr>
      <t xml:space="preserve"> / Haftasonu: </t>
    </r>
    <r>
      <rPr>
        <b/>
        <u val="single"/>
        <sz val="20"/>
        <rFont val="Candara"/>
        <family val="2"/>
      </rPr>
      <t>24-26.02.2012</t>
    </r>
  </si>
  <si>
    <t>KILLER ELITE</t>
  </si>
  <si>
    <t>SEÇKİN TETİKÇİLER</t>
  </si>
  <si>
    <t>Omnilab</t>
  </si>
  <si>
    <t>161</t>
  </si>
  <si>
    <t>162</t>
  </si>
  <si>
    <t>163</t>
  </si>
  <si>
    <t>164</t>
  </si>
  <si>
    <t>165</t>
  </si>
  <si>
    <t>ALTIN PUSULA</t>
  </si>
  <si>
    <t>HUGO</t>
  </si>
  <si>
    <t>HUGO CABRET</t>
  </si>
  <si>
    <t>THE DESCENDANTS</t>
  </si>
  <si>
    <t>SENDEN BANA KALAN</t>
  </si>
  <si>
    <t>166</t>
  </si>
  <si>
    <r>
      <t xml:space="preserve">Weekend / </t>
    </r>
    <r>
      <rPr>
        <b/>
        <sz val="30"/>
        <color indexed="9"/>
        <rFont val="Candara"/>
        <family val="2"/>
      </rPr>
      <t xml:space="preserve">09 </t>
    </r>
    <r>
      <rPr>
        <b/>
        <sz val="30"/>
        <rFont val="Candara"/>
        <family val="2"/>
      </rPr>
      <t xml:space="preserve">/ Hafta: </t>
    </r>
    <r>
      <rPr>
        <b/>
        <u val="single"/>
        <sz val="30"/>
        <rFont val="Candara"/>
        <family val="2"/>
      </rPr>
      <t>24-26.02.2012</t>
    </r>
  </si>
</sst>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 numFmtId="212" formatCode="#,##0;[Red]#,##0"/>
    <numFmt numFmtId="213" formatCode="00000"/>
  </numFmts>
  <fonts count="206">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2"/>
      <name val="Berlin Sans FB"/>
      <family val="2"/>
    </font>
    <font>
      <b/>
      <sz val="11"/>
      <name val="Tahoma"/>
      <family val="2"/>
    </font>
    <font>
      <b/>
      <sz val="10"/>
      <color indexed="9"/>
      <name val="Tahoma"/>
      <family val="2"/>
    </font>
    <font>
      <b/>
      <sz val="11"/>
      <color indexed="10"/>
      <name val="Calibri"/>
      <family val="2"/>
    </font>
    <font>
      <sz val="8"/>
      <name val="Calibri"/>
      <family val="2"/>
    </font>
    <font>
      <b/>
      <sz val="10"/>
      <color indexed="10"/>
      <name val="Calibri"/>
      <family val="2"/>
    </font>
    <font>
      <sz val="12"/>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name val="Calibri"/>
      <family val="2"/>
    </font>
    <font>
      <sz val="10"/>
      <color indexed="9"/>
      <name val="Arial"/>
      <family val="2"/>
    </font>
    <font>
      <b/>
      <sz val="10"/>
      <color indexed="9"/>
      <name val="Arial"/>
      <family val="2"/>
    </font>
    <font>
      <b/>
      <sz val="12"/>
      <color indexed="8"/>
      <name val="Berlin Sans FB"/>
      <family val="2"/>
    </font>
    <font>
      <b/>
      <sz val="14"/>
      <color indexed="49"/>
      <name val="Webdings"/>
      <family val="1"/>
    </font>
    <font>
      <b/>
      <sz val="14"/>
      <color indexed="21"/>
      <name val="Webdings"/>
      <family val="1"/>
    </font>
    <font>
      <b/>
      <sz val="14"/>
      <color indexed="10"/>
      <name val="Webdings"/>
      <family val="1"/>
    </font>
    <font>
      <b/>
      <sz val="8"/>
      <color indexed="9"/>
      <name val="Calibri"/>
      <family val="2"/>
    </font>
    <font>
      <b/>
      <sz val="12"/>
      <color indexed="8"/>
      <name val="Calibri"/>
      <family val="2"/>
    </font>
    <font>
      <b/>
      <sz val="8"/>
      <color indexed="8"/>
      <name val="Calibri"/>
      <family val="2"/>
    </font>
    <font>
      <b/>
      <sz val="12"/>
      <color indexed="10"/>
      <name val="Calibri"/>
      <family val="2"/>
    </font>
    <font>
      <sz val="10"/>
      <color indexed="8"/>
      <name val="Calibri"/>
      <family val="2"/>
    </font>
    <font>
      <sz val="8"/>
      <color indexed="9"/>
      <name val="Calibri"/>
      <family val="2"/>
    </font>
    <font>
      <sz val="10"/>
      <color indexed="9"/>
      <name val="Calibri"/>
      <family val="2"/>
    </font>
    <font>
      <b/>
      <sz val="11"/>
      <name val="Calibri"/>
      <family val="2"/>
    </font>
    <font>
      <b/>
      <sz val="12"/>
      <color indexed="54"/>
      <name val="Calibri"/>
      <family val="2"/>
    </font>
    <font>
      <sz val="14"/>
      <color indexed="9"/>
      <name val="Calibri"/>
      <family val="2"/>
    </font>
    <font>
      <sz val="14"/>
      <color indexed="10"/>
      <name val="Calibri"/>
      <family val="2"/>
    </font>
    <font>
      <b/>
      <sz val="10"/>
      <color indexed="8"/>
      <name val="Calibri"/>
      <family val="2"/>
    </font>
    <font>
      <b/>
      <sz val="10"/>
      <name val="Calibri"/>
      <family val="2"/>
    </font>
    <font>
      <sz val="10"/>
      <color indexed="9"/>
      <name val="Trebuchet MS"/>
      <family val="2"/>
    </font>
    <font>
      <sz val="10"/>
      <color indexed="10"/>
      <name val="Calibri"/>
      <family val="2"/>
    </font>
    <font>
      <sz val="8"/>
      <color indexed="8"/>
      <name val="Calibri"/>
      <family val="2"/>
    </font>
    <font>
      <b/>
      <sz val="12"/>
      <color indexed="9"/>
      <name val="Calibri"/>
      <family val="2"/>
    </font>
    <font>
      <b/>
      <sz val="50"/>
      <color indexed="49"/>
      <name val="Arial Black"/>
      <family val="2"/>
    </font>
    <font>
      <sz val="50"/>
      <color indexed="49"/>
      <name val="Arial"/>
      <family val="2"/>
    </font>
    <font>
      <b/>
      <sz val="10"/>
      <color indexed="9"/>
      <name val="Calibri"/>
      <family val="2"/>
    </font>
    <font>
      <b/>
      <sz val="14"/>
      <color indexed="10"/>
      <name val="Calibri"/>
      <family val="2"/>
    </font>
    <font>
      <b/>
      <sz val="10"/>
      <color indexed="10"/>
      <name val="Arial"/>
      <family val="2"/>
    </font>
    <font>
      <b/>
      <sz val="14"/>
      <color indexed="30"/>
      <name val="Calibri"/>
      <family val="2"/>
    </font>
    <font>
      <b/>
      <sz val="10"/>
      <color indexed="30"/>
      <name val="Arial"/>
      <family val="2"/>
    </font>
    <font>
      <b/>
      <sz val="100"/>
      <color indexed="15"/>
      <name val="Calibri"/>
      <family val="2"/>
    </font>
    <font>
      <b/>
      <sz val="14"/>
      <color indexed="62"/>
      <name val="Calibri"/>
      <family val="2"/>
    </font>
    <font>
      <b/>
      <sz val="10"/>
      <color indexed="62"/>
      <name val="Arial"/>
      <family val="2"/>
    </font>
    <font>
      <b/>
      <sz val="12"/>
      <color indexed="23"/>
      <name val="Arial"/>
      <family val="2"/>
    </font>
    <font>
      <sz val="12"/>
      <color indexed="23"/>
      <name val="Arial"/>
      <family val="2"/>
    </font>
    <font>
      <sz val="12"/>
      <color indexed="10"/>
      <name val="Calibri"/>
      <family val="2"/>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12"/>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b/>
      <sz val="12"/>
      <color theme="1"/>
      <name val="Berlin Sans FB"/>
      <family val="2"/>
    </font>
    <font>
      <b/>
      <sz val="14"/>
      <color theme="3" tint="0.39998000860214233"/>
      <name val="Webdings"/>
      <family val="1"/>
    </font>
    <font>
      <b/>
      <sz val="14"/>
      <color rgb="FF00B050"/>
      <name val="Webdings"/>
      <family val="1"/>
    </font>
    <font>
      <b/>
      <sz val="14"/>
      <color rgb="FFFF0000"/>
      <name val="Webdings"/>
      <family val="1"/>
    </font>
    <font>
      <b/>
      <sz val="8"/>
      <color theme="0"/>
      <name val="Calibri"/>
      <family val="2"/>
    </font>
    <font>
      <b/>
      <sz val="12"/>
      <color theme="1"/>
      <name val="Calibri"/>
      <family val="2"/>
    </font>
    <font>
      <b/>
      <sz val="8"/>
      <color theme="1"/>
      <name val="Calibri"/>
      <family val="2"/>
    </font>
    <font>
      <b/>
      <sz val="12"/>
      <color rgb="FFFF0000"/>
      <name val="Calibri"/>
      <family val="2"/>
    </font>
    <font>
      <sz val="10"/>
      <color theme="1"/>
      <name val="Calibri"/>
      <family val="2"/>
    </font>
    <font>
      <sz val="8"/>
      <color theme="0"/>
      <name val="Calibri"/>
      <family val="2"/>
    </font>
    <font>
      <sz val="10"/>
      <color theme="0"/>
      <name val="Calibri"/>
      <family val="2"/>
    </font>
    <font>
      <b/>
      <sz val="12"/>
      <color theme="7" tint="-0.24997000396251678"/>
      <name val="Calibri"/>
      <family val="2"/>
    </font>
    <font>
      <sz val="14"/>
      <color theme="0"/>
      <name val="Calibri"/>
      <family val="2"/>
    </font>
    <font>
      <sz val="14"/>
      <color rgb="FFFF0000"/>
      <name val="Calibri"/>
      <family val="2"/>
    </font>
    <font>
      <b/>
      <sz val="11"/>
      <color rgb="FFFF0000"/>
      <name val="Calibri"/>
      <family val="2"/>
    </font>
    <font>
      <b/>
      <sz val="10"/>
      <color theme="1"/>
      <name val="Calibri"/>
      <family val="2"/>
    </font>
    <font>
      <sz val="10"/>
      <color theme="0"/>
      <name val="Trebuchet MS"/>
      <family val="2"/>
    </font>
    <font>
      <sz val="10"/>
      <color rgb="FFFF0000"/>
      <name val="Calibri"/>
      <family val="2"/>
    </font>
    <font>
      <sz val="8"/>
      <color theme="1"/>
      <name val="Calibri"/>
      <family val="2"/>
    </font>
    <font>
      <sz val="12"/>
      <color rgb="FFFF0000"/>
      <name val="Calibri"/>
      <family val="2"/>
    </font>
    <font>
      <b/>
      <sz val="12"/>
      <color theme="0"/>
      <name val="Calibri"/>
      <family val="2"/>
    </font>
    <font>
      <b/>
      <sz val="50"/>
      <color theme="8" tint="-0.24997000396251678"/>
      <name val="Arial Black"/>
      <family val="2"/>
    </font>
    <font>
      <sz val="50"/>
      <color theme="8" tint="-0.24997000396251678"/>
      <name val="Arial"/>
      <family val="2"/>
    </font>
    <font>
      <b/>
      <sz val="10"/>
      <color theme="0"/>
      <name val="Calibri"/>
      <family val="2"/>
    </font>
    <font>
      <b/>
      <sz val="14"/>
      <color rgb="FF0070C0"/>
      <name val="Calibri"/>
      <family val="2"/>
    </font>
    <font>
      <b/>
      <sz val="10"/>
      <color rgb="FF0070C0"/>
      <name val="Arial"/>
      <family val="2"/>
    </font>
    <font>
      <b/>
      <sz val="100"/>
      <color rgb="FF00B0F0"/>
      <name val="Calibri"/>
      <family val="2"/>
    </font>
    <font>
      <b/>
      <sz val="14"/>
      <color theme="3"/>
      <name val="Calibri"/>
      <family val="2"/>
    </font>
    <font>
      <b/>
      <sz val="10"/>
      <color theme="3"/>
      <name val="Arial"/>
      <family val="2"/>
    </font>
    <font>
      <b/>
      <sz val="14"/>
      <color rgb="FFC00000"/>
      <name val="Calibri"/>
      <family val="2"/>
    </font>
    <font>
      <b/>
      <sz val="10"/>
      <color rgb="FFC00000"/>
      <name val="Arial"/>
      <family val="2"/>
    </font>
    <font>
      <b/>
      <sz val="12"/>
      <color theme="1" tint="0.49998000264167786"/>
      <name val="Arial"/>
      <family val="2"/>
    </font>
    <font>
      <sz val="12"/>
      <color theme="1" tint="0.49998000264167786"/>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theme="9" tint="-0.24997000396251678"/>
        <bgColor indexed="64"/>
      </patternFill>
    </fill>
    <fill>
      <patternFill patternType="solid">
        <fgColor indexed="17"/>
        <bgColor indexed="64"/>
      </patternFill>
    </fill>
    <fill>
      <patternFill patternType="solid">
        <fgColor rgb="FF002060"/>
        <bgColor indexed="64"/>
      </patternFill>
    </fill>
    <fill>
      <patternFill patternType="solid">
        <fgColor theme="1"/>
        <bgColor indexed="64"/>
      </patternFill>
    </fill>
    <fill>
      <patternFill patternType="solid">
        <fgColor theme="2" tint="-0.4999699890613556"/>
        <bgColor indexed="64"/>
      </patternFill>
    </fill>
    <fill>
      <patternFill patternType="solid">
        <fgColor rgb="FFFFC000"/>
        <bgColor indexed="64"/>
      </patternFill>
    </fill>
    <fill>
      <patternFill patternType="solid">
        <fgColor theme="3" tint="0.39998000860214233"/>
        <bgColor indexed="64"/>
      </patternFill>
    </fill>
    <fill>
      <patternFill patternType="solid">
        <fgColor theme="6" tint="-0.4999699890613556"/>
        <bgColor indexed="64"/>
      </patternFill>
    </fill>
    <fill>
      <patternFill patternType="solid">
        <fgColor rgb="FFFF0000"/>
        <bgColor indexed="64"/>
      </patternFill>
    </fill>
    <fill>
      <patternFill patternType="solid">
        <fgColor indexed="65"/>
        <bgColor indexed="64"/>
      </patternFill>
    </fill>
    <fill>
      <patternFill patternType="solid">
        <fgColor indexed="10"/>
        <bgColor indexed="64"/>
      </patternFill>
    </fill>
    <fill>
      <patternFill patternType="solid">
        <fgColor theme="4" tint="-0.4999699890613556"/>
        <bgColor indexed="64"/>
      </patternFill>
    </fill>
    <fill>
      <patternFill patternType="solid">
        <fgColor rgb="FF92D050"/>
        <bgColor indexed="64"/>
      </patternFill>
    </fill>
    <fill>
      <patternFill patternType="solid">
        <fgColor theme="3" tint="0.7999799847602844"/>
        <bgColor indexed="64"/>
      </patternFill>
    </fill>
    <fill>
      <patternFill patternType="solid">
        <fgColor theme="2" tint="-0.7499799728393555"/>
        <bgColor indexed="64"/>
      </patternFill>
    </fill>
    <fill>
      <patternFill patternType="solid">
        <fgColor theme="6" tint="-0.24997000396251678"/>
        <bgColor indexed="64"/>
      </patternFill>
    </fill>
  </fills>
  <borders count="6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hair"/>
      <right style="hair"/>
      <top style="hair"/>
      <bottom style="hair"/>
    </border>
    <border>
      <left style="medium"/>
      <right style="thin"/>
      <top style="medium"/>
      <bottom style="thin"/>
    </border>
    <border>
      <left style="thin"/>
      <right style="thin"/>
      <top style="medium"/>
      <bottom style="thin"/>
    </border>
    <border>
      <left style="hair"/>
      <right style="hair"/>
      <top style="hair"/>
      <bottom style="medium"/>
    </border>
    <border>
      <left style="medium"/>
      <right>
        <color indexed="63"/>
      </right>
      <top style="hair"/>
      <bottom style="hair"/>
    </border>
    <border>
      <left style="medium"/>
      <right>
        <color indexed="63"/>
      </right>
      <top style="hair"/>
      <bottom style="medium"/>
    </border>
    <border>
      <left style="medium"/>
      <right>
        <color indexed="63"/>
      </right>
      <top style="medium"/>
      <bottom style="hair"/>
    </border>
    <border>
      <left style="thin"/>
      <right style="thin"/>
      <top style="thin"/>
      <bottom>
        <color indexed="63"/>
      </bottom>
    </border>
    <border>
      <left style="hair"/>
      <right style="medium"/>
      <top style="hair"/>
      <bottom style="hair"/>
    </border>
    <border>
      <left style="hair"/>
      <right style="medium"/>
      <top style="hair"/>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hair"/>
      <right style="hair"/>
      <top>
        <color indexed="63"/>
      </top>
      <bottom style="hair"/>
    </border>
    <border>
      <left style="medium"/>
      <right>
        <color indexed="63"/>
      </right>
      <top>
        <color indexed="63"/>
      </top>
      <bottom style="hair"/>
    </border>
    <border>
      <left style="hair"/>
      <right style="hair"/>
      <top style="medium"/>
      <bottom style="hair"/>
    </border>
    <border>
      <left style="medium"/>
      <right>
        <color indexed="63"/>
      </right>
      <top>
        <color indexed="63"/>
      </top>
      <bottom style="medium"/>
    </border>
    <border>
      <left style="thin"/>
      <right style="medium"/>
      <top>
        <color indexed="63"/>
      </top>
      <bottom style="thin"/>
    </border>
    <border>
      <left style="thin"/>
      <right style="medium"/>
      <top style="thin"/>
      <bottom style="medium"/>
    </border>
    <border>
      <left style="thin"/>
      <right style="medium"/>
      <top style="medium"/>
      <bottom style="thin"/>
    </border>
    <border>
      <left style="hair"/>
      <right>
        <color indexed="63"/>
      </right>
      <top style="hair"/>
      <bottom style="hair"/>
    </border>
    <border>
      <left style="hair"/>
      <right style="hair"/>
      <top>
        <color indexed="63"/>
      </top>
      <bottom style="medium"/>
    </border>
    <border>
      <left style="thin"/>
      <right>
        <color indexed="63"/>
      </right>
      <top style="thin"/>
      <bottom>
        <color indexed="63"/>
      </bottom>
    </border>
    <border>
      <left style="thin"/>
      <right style="medium"/>
      <top style="thin"/>
      <bottom>
        <color indexed="63"/>
      </bottom>
    </border>
    <border>
      <left style="hair"/>
      <right style="medium"/>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color indexed="63"/>
      </left>
      <right style="thin"/>
      <top style="medium"/>
      <bottom style="thin"/>
    </border>
    <border>
      <left>
        <color indexed="63"/>
      </left>
      <right>
        <color indexed="63"/>
      </right>
      <top style="medium"/>
      <bottom>
        <color indexed="63"/>
      </bottom>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4" fillId="2" borderId="0" applyNumberFormat="0" applyBorder="0" applyAlignment="0" applyProtection="0"/>
    <xf numFmtId="0" fontId="154" fillId="3" borderId="0" applyNumberFormat="0" applyBorder="0" applyAlignment="0" applyProtection="0"/>
    <xf numFmtId="0" fontId="154" fillId="4" borderId="0" applyNumberFormat="0" applyBorder="0" applyAlignment="0" applyProtection="0"/>
    <xf numFmtId="0" fontId="154" fillId="5" borderId="0" applyNumberFormat="0" applyBorder="0" applyAlignment="0" applyProtection="0"/>
    <xf numFmtId="0" fontId="154" fillId="6" borderId="0" applyNumberFormat="0" applyBorder="0" applyAlignment="0" applyProtection="0"/>
    <xf numFmtId="0" fontId="154" fillId="7" borderId="0" applyNumberFormat="0" applyBorder="0" applyAlignment="0" applyProtection="0"/>
    <xf numFmtId="0" fontId="154" fillId="8" borderId="0" applyNumberFormat="0" applyBorder="0" applyAlignment="0" applyProtection="0"/>
    <xf numFmtId="0" fontId="154" fillId="9" borderId="0" applyNumberFormat="0" applyBorder="0" applyAlignment="0" applyProtection="0"/>
    <xf numFmtId="0" fontId="154" fillId="10" borderId="0" applyNumberFormat="0" applyBorder="0" applyAlignment="0" applyProtection="0"/>
    <xf numFmtId="0" fontId="154" fillId="11" borderId="0" applyNumberFormat="0" applyBorder="0" applyAlignment="0" applyProtection="0"/>
    <xf numFmtId="0" fontId="154" fillId="12" borderId="0" applyNumberFormat="0" applyBorder="0" applyAlignment="0" applyProtection="0"/>
    <xf numFmtId="0" fontId="154" fillId="13" borderId="0" applyNumberFormat="0" applyBorder="0" applyAlignment="0" applyProtection="0"/>
    <xf numFmtId="0" fontId="155" fillId="14" borderId="0" applyNumberFormat="0" applyBorder="0" applyAlignment="0" applyProtection="0"/>
    <xf numFmtId="0" fontId="155" fillId="15" borderId="0" applyNumberFormat="0" applyBorder="0" applyAlignment="0" applyProtection="0"/>
    <xf numFmtId="0" fontId="155" fillId="16" borderId="0" applyNumberFormat="0" applyBorder="0" applyAlignment="0" applyProtection="0"/>
    <xf numFmtId="0" fontId="155" fillId="17" borderId="0" applyNumberFormat="0" applyBorder="0" applyAlignment="0" applyProtection="0"/>
    <xf numFmtId="0" fontId="155" fillId="18" borderId="0" applyNumberFormat="0" applyBorder="0" applyAlignment="0" applyProtection="0"/>
    <xf numFmtId="0" fontId="155" fillId="19" borderId="0" applyNumberFormat="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8" fillId="0" borderId="1" applyNumberFormat="0" applyFill="0" applyAlignment="0" applyProtection="0"/>
    <xf numFmtId="0" fontId="159" fillId="0" borderId="2" applyNumberFormat="0" applyFill="0" applyAlignment="0" applyProtection="0"/>
    <xf numFmtId="0" fontId="160" fillId="0" borderId="3" applyNumberFormat="0" applyFill="0" applyAlignment="0" applyProtection="0"/>
    <xf numFmtId="0" fontId="161" fillId="0" borderId="4" applyNumberFormat="0" applyFill="0" applyAlignment="0" applyProtection="0"/>
    <xf numFmtId="0" fontId="1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62" fillId="20" borderId="5" applyNumberFormat="0" applyAlignment="0" applyProtection="0"/>
    <xf numFmtId="0" fontId="163" fillId="21" borderId="6" applyNumberFormat="0" applyAlignment="0" applyProtection="0"/>
    <xf numFmtId="0" fontId="164" fillId="20" borderId="6" applyNumberFormat="0" applyAlignment="0" applyProtection="0"/>
    <xf numFmtId="0" fontId="165" fillId="22" borderId="7" applyNumberFormat="0" applyAlignment="0" applyProtection="0"/>
    <xf numFmtId="0" fontId="166"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67"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6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9" fillId="0" borderId="9" applyNumberFormat="0" applyFill="0" applyAlignment="0" applyProtection="0"/>
    <xf numFmtId="0" fontId="170" fillId="0" borderId="0" applyNumberFormat="0" applyFill="0" applyBorder="0" applyAlignment="0" applyProtection="0"/>
    <xf numFmtId="0" fontId="155" fillId="27" borderId="0" applyNumberFormat="0" applyBorder="0" applyAlignment="0" applyProtection="0"/>
    <xf numFmtId="0" fontId="155" fillId="28" borderId="0" applyNumberFormat="0" applyBorder="0" applyAlignment="0" applyProtection="0"/>
    <xf numFmtId="0" fontId="155" fillId="29" borderId="0" applyNumberFormat="0" applyBorder="0" applyAlignment="0" applyProtection="0"/>
    <xf numFmtId="0" fontId="155" fillId="30" borderId="0" applyNumberFormat="0" applyBorder="0" applyAlignment="0" applyProtection="0"/>
    <xf numFmtId="0" fontId="155" fillId="31" borderId="0" applyNumberFormat="0" applyBorder="0" applyAlignment="0" applyProtection="0"/>
    <xf numFmtId="0" fontId="155"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957">
    <xf numFmtId="0" fontId="0" fillId="0" borderId="0" xfId="0" applyAlignment="1">
      <alignment/>
    </xf>
    <xf numFmtId="0" fontId="15"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43" fontId="15" fillId="33" borderId="12" xfId="40" applyFont="1" applyFill="1" applyBorder="1" applyAlignment="1" applyProtection="1">
      <alignment horizontal="center"/>
      <protection/>
    </xf>
    <xf numFmtId="0" fontId="15"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2"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2"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wrapText="1"/>
      <protection/>
    </xf>
    <xf numFmtId="4" fontId="22" fillId="33" borderId="0" xfId="0" applyNumberFormat="1" applyFont="1" applyFill="1" applyBorder="1" applyAlignment="1" applyProtection="1">
      <alignment horizontal="center" vertical="center" wrapText="1"/>
      <protection/>
    </xf>
    <xf numFmtId="3" fontId="22" fillId="33" borderId="0" xfId="0" applyNumberFormat="1" applyFont="1" applyFill="1" applyBorder="1" applyAlignment="1" applyProtection="1">
      <alignment horizontal="center" vertical="center" wrapText="1"/>
      <protection/>
    </xf>
    <xf numFmtId="192" fontId="22" fillId="33" borderId="0"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1" fontId="16" fillId="33" borderId="13" xfId="0" applyNumberFormat="1" applyFont="1" applyFill="1" applyBorder="1" applyAlignment="1" applyProtection="1">
      <alignment horizontal="center" vertical="center" wrapText="1"/>
      <protection/>
    </xf>
    <xf numFmtId="1" fontId="15" fillId="33" borderId="14" xfId="0" applyNumberFormat="1" applyFont="1" applyFill="1" applyBorder="1" applyAlignment="1" applyProtection="1">
      <alignment horizontal="center" vertical="center" wrapText="1"/>
      <protection/>
    </xf>
    <xf numFmtId="1" fontId="15" fillId="33" borderId="15" xfId="0" applyNumberFormat="1" applyFont="1" applyFill="1" applyBorder="1" applyAlignment="1" applyProtection="1">
      <alignment horizontal="center" vertical="center" wrapText="1"/>
      <protection/>
    </xf>
    <xf numFmtId="4" fontId="11" fillId="33" borderId="0" xfId="0" applyNumberFormat="1" applyFont="1" applyFill="1" applyBorder="1" applyAlignment="1" applyProtection="1">
      <alignment horizontal="right" vertical="center"/>
      <protection/>
    </xf>
    <xf numFmtId="4" fontId="12" fillId="33" borderId="0" xfId="0" applyNumberFormat="1" applyFont="1" applyFill="1" applyBorder="1" applyAlignment="1" applyProtection="1">
      <alignment horizontal="right" vertical="center"/>
      <protection/>
    </xf>
    <xf numFmtId="3" fontId="11" fillId="33" borderId="0" xfId="0" applyNumberFormat="1" applyFont="1" applyFill="1" applyBorder="1" applyAlignment="1" applyProtection="1">
      <alignment horizontal="right" vertical="center"/>
      <protection/>
    </xf>
    <xf numFmtId="4" fontId="34" fillId="33" borderId="0" xfId="0" applyNumberFormat="1" applyFont="1" applyFill="1" applyBorder="1" applyAlignment="1" applyProtection="1">
      <alignment horizontal="right" vertical="center"/>
      <protection/>
    </xf>
    <xf numFmtId="3" fontId="34" fillId="33" borderId="0" xfId="0" applyNumberFormat="1" applyFont="1" applyFill="1" applyBorder="1" applyAlignment="1" applyProtection="1">
      <alignment horizontal="right" vertical="center"/>
      <protection/>
    </xf>
    <xf numFmtId="0" fontId="16" fillId="34" borderId="16"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protection/>
    </xf>
    <xf numFmtId="190" fontId="15" fillId="34" borderId="10" xfId="0" applyNumberFormat="1" applyFont="1" applyFill="1" applyBorder="1" applyAlignment="1" applyProtection="1">
      <alignment horizontal="center"/>
      <protection/>
    </xf>
    <xf numFmtId="4" fontId="15" fillId="34" borderId="10" xfId="0" applyNumberFormat="1" applyFont="1" applyFill="1" applyBorder="1" applyAlignment="1" applyProtection="1">
      <alignment horizontal="center" vertical="center" wrapText="1"/>
      <protection/>
    </xf>
    <xf numFmtId="43" fontId="15" fillId="34" borderId="12" xfId="40" applyFont="1" applyFill="1" applyBorder="1" applyAlignment="1" applyProtection="1">
      <alignment horizontal="center"/>
      <protection/>
    </xf>
    <xf numFmtId="190" fontId="15" fillId="34" borderId="12" xfId="0" applyNumberFormat="1" applyFont="1" applyFill="1" applyBorder="1" applyAlignment="1" applyProtection="1">
      <alignment horizontal="center"/>
      <protection/>
    </xf>
    <xf numFmtId="0" fontId="15" fillId="34" borderId="12" xfId="0" applyFont="1" applyFill="1" applyBorder="1" applyAlignment="1" applyProtection="1">
      <alignment horizontal="center"/>
      <protection/>
    </xf>
    <xf numFmtId="4" fontId="15" fillId="34" borderId="12" xfId="0" applyNumberFormat="1" applyFont="1" applyFill="1" applyBorder="1" applyAlignment="1" applyProtection="1">
      <alignment horizontal="center" vertical="center" wrapText="1"/>
      <protection/>
    </xf>
    <xf numFmtId="3" fontId="15" fillId="34" borderId="12" xfId="0" applyNumberFormat="1" applyFont="1" applyFill="1" applyBorder="1" applyAlignment="1" applyProtection="1">
      <alignment horizontal="center" vertical="center" wrapText="1"/>
      <protection/>
    </xf>
    <xf numFmtId="192" fontId="15" fillId="34" borderId="12" xfId="0" applyNumberFormat="1" applyFont="1" applyFill="1" applyBorder="1" applyAlignment="1" applyProtection="1">
      <alignment horizontal="center" vertical="center" wrapText="1"/>
      <protection/>
    </xf>
    <xf numFmtId="4" fontId="20" fillId="34" borderId="12" xfId="0" applyNumberFormat="1" applyFont="1" applyFill="1" applyBorder="1" applyAlignment="1" applyProtection="1">
      <alignment horizontal="center" vertical="center" wrapText="1"/>
      <protection/>
    </xf>
    <xf numFmtId="3" fontId="20" fillId="34" borderId="12" xfId="0" applyNumberFormat="1" applyFont="1" applyFill="1" applyBorder="1" applyAlignment="1" applyProtection="1">
      <alignment horizontal="center" vertical="center" wrapText="1"/>
      <protection/>
    </xf>
    <xf numFmtId="43" fontId="15" fillId="0" borderId="12" xfId="40" applyFont="1" applyFill="1" applyBorder="1" applyAlignment="1" applyProtection="1">
      <alignment horizontal="center"/>
      <protection/>
    </xf>
    <xf numFmtId="0" fontId="11" fillId="33" borderId="0" xfId="0" applyNumberFormat="1" applyFont="1" applyFill="1" applyBorder="1" applyAlignment="1">
      <alignment vertical="center"/>
    </xf>
    <xf numFmtId="0" fontId="11" fillId="7" borderId="17" xfId="0" applyFont="1" applyFill="1" applyBorder="1" applyAlignment="1">
      <alignment vertical="center"/>
    </xf>
    <xf numFmtId="0" fontId="11" fillId="7" borderId="17" xfId="57" applyFont="1" applyFill="1" applyBorder="1" applyAlignment="1">
      <alignment vertical="center"/>
      <protection/>
    </xf>
    <xf numFmtId="204" fontId="11" fillId="7" borderId="17" xfId="0" applyNumberFormat="1" applyFont="1" applyFill="1" applyBorder="1" applyAlignment="1">
      <alignment vertical="center"/>
    </xf>
    <xf numFmtId="0" fontId="11" fillId="7" borderId="17" xfId="0" applyNumberFormat="1" applyFont="1" applyFill="1" applyBorder="1" applyAlignment="1" applyProtection="1">
      <alignment vertical="center"/>
      <protection/>
    </xf>
    <xf numFmtId="0" fontId="11" fillId="7" borderId="17" xfId="0" applyFont="1" applyFill="1" applyBorder="1" applyAlignment="1" applyProtection="1">
      <alignment vertical="center"/>
      <protection/>
    </xf>
    <xf numFmtId="0" fontId="11" fillId="7" borderId="17" xfId="0" applyNumberFormat="1" applyFont="1" applyFill="1" applyBorder="1" applyAlignment="1" applyProtection="1">
      <alignment vertical="center"/>
      <protection locked="0"/>
    </xf>
    <xf numFmtId="0" fontId="11" fillId="7" borderId="17" xfId="0" applyFont="1" applyFill="1" applyBorder="1" applyAlignment="1" applyProtection="1">
      <alignment vertical="center"/>
      <protection locked="0"/>
    </xf>
    <xf numFmtId="0" fontId="11" fillId="7" borderId="17" xfId="0" applyNumberFormat="1" applyFont="1" applyFill="1" applyBorder="1" applyAlignment="1">
      <alignment vertical="center"/>
    </xf>
    <xf numFmtId="4" fontId="50" fillId="33" borderId="0" xfId="0" applyNumberFormat="1" applyFont="1" applyFill="1" applyBorder="1" applyAlignment="1" applyProtection="1">
      <alignment horizontal="right" vertical="center"/>
      <protection/>
    </xf>
    <xf numFmtId="4" fontId="50" fillId="33" borderId="0" xfId="0" applyNumberFormat="1" applyFont="1" applyFill="1" applyBorder="1" applyAlignment="1" applyProtection="1">
      <alignment horizontal="center" vertical="center"/>
      <protection/>
    </xf>
    <xf numFmtId="3" fontId="50" fillId="33" borderId="0" xfId="0" applyNumberFormat="1" applyFont="1" applyFill="1" applyBorder="1" applyAlignment="1" applyProtection="1">
      <alignment horizontal="center" vertical="center"/>
      <protection/>
    </xf>
    <xf numFmtId="0" fontId="51" fillId="33" borderId="0" xfId="0" applyFont="1" applyFill="1" applyBorder="1" applyAlignment="1" applyProtection="1">
      <alignment horizontal="left" vertical="center"/>
      <protection/>
    </xf>
    <xf numFmtId="0" fontId="51" fillId="33" borderId="0" xfId="0" applyFont="1" applyFill="1" applyBorder="1" applyAlignment="1" applyProtection="1">
      <alignment horizontal="center" vertical="center"/>
      <protection/>
    </xf>
    <xf numFmtId="4" fontId="51" fillId="33" borderId="0" xfId="0" applyNumberFormat="1" applyFont="1" applyFill="1" applyBorder="1" applyAlignment="1" applyProtection="1">
      <alignment horizontal="right" vertical="center"/>
      <protection/>
    </xf>
    <xf numFmtId="4" fontId="51" fillId="33" borderId="0" xfId="0" applyNumberFormat="1" applyFont="1" applyFill="1" applyBorder="1" applyAlignment="1" applyProtection="1">
      <alignment horizontal="center" vertical="center"/>
      <protection/>
    </xf>
    <xf numFmtId="3" fontId="51" fillId="33" borderId="0" xfId="0" applyNumberFormat="1" applyFont="1" applyFill="1" applyBorder="1" applyAlignment="1" applyProtection="1">
      <alignment horizontal="center" vertical="center"/>
      <protection/>
    </xf>
    <xf numFmtId="0" fontId="53"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5" fillId="33" borderId="18" xfId="0" applyFont="1" applyFill="1" applyBorder="1" applyAlignment="1" applyProtection="1">
      <alignment horizontal="center"/>
      <protection/>
    </xf>
    <xf numFmtId="0" fontId="15" fillId="34" borderId="19" xfId="0" applyFont="1" applyFill="1" applyBorder="1" applyAlignment="1" applyProtection="1">
      <alignment horizontal="center"/>
      <protection/>
    </xf>
    <xf numFmtId="190" fontId="15" fillId="34" borderId="19" xfId="0" applyNumberFormat="1" applyFont="1" applyFill="1" applyBorder="1" applyAlignment="1" applyProtection="1">
      <alignment horizontal="center"/>
      <protection/>
    </xf>
    <xf numFmtId="0" fontId="15" fillId="35" borderId="19" xfId="0" applyFont="1" applyFill="1" applyBorder="1" applyAlignment="1" applyProtection="1">
      <alignment horizontal="center"/>
      <protection/>
    </xf>
    <xf numFmtId="4" fontId="15" fillId="35" borderId="19" xfId="0" applyNumberFormat="1" applyFont="1" applyFill="1" applyBorder="1" applyAlignment="1" applyProtection="1">
      <alignment horizontal="center"/>
      <protection/>
    </xf>
    <xf numFmtId="3" fontId="15" fillId="35" borderId="19" xfId="0" applyNumberFormat="1" applyFont="1" applyFill="1" applyBorder="1" applyAlignment="1" applyProtection="1">
      <alignment horizontal="center"/>
      <protection/>
    </xf>
    <xf numFmtId="4" fontId="20" fillId="35" borderId="19" xfId="0" applyNumberFormat="1" applyFont="1" applyFill="1" applyBorder="1" applyAlignment="1" applyProtection="1">
      <alignment horizontal="center"/>
      <protection/>
    </xf>
    <xf numFmtId="3" fontId="20" fillId="35" borderId="19" xfId="0" applyNumberFormat="1" applyFont="1" applyFill="1" applyBorder="1" applyAlignment="1" applyProtection="1">
      <alignment horizontal="center"/>
      <protection/>
    </xf>
    <xf numFmtId="4" fontId="15" fillId="35" borderId="19" xfId="0" applyNumberFormat="1" applyFont="1" applyFill="1" applyBorder="1" applyAlignment="1" applyProtection="1">
      <alignment horizontal="center" vertical="center" wrapText="1"/>
      <protection/>
    </xf>
    <xf numFmtId="0" fontId="15" fillId="33" borderId="15" xfId="0" applyFont="1" applyFill="1" applyBorder="1" applyAlignment="1" applyProtection="1">
      <alignment horizontal="center"/>
      <protection/>
    </xf>
    <xf numFmtId="4" fontId="45" fillId="8" borderId="17" xfId="0" applyNumberFormat="1" applyFont="1" applyFill="1" applyBorder="1" applyAlignment="1">
      <alignment vertical="center"/>
    </xf>
    <xf numFmtId="4" fontId="45" fillId="8" borderId="20"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5" fillId="33" borderId="19" xfId="0" applyFont="1" applyFill="1" applyBorder="1" applyAlignment="1" applyProtection="1">
      <alignment horizontal="center"/>
      <protection/>
    </xf>
    <xf numFmtId="0" fontId="15" fillId="0" borderId="19" xfId="0" applyFont="1" applyFill="1" applyBorder="1" applyAlignment="1" applyProtection="1">
      <alignment horizontal="center"/>
      <protection/>
    </xf>
    <xf numFmtId="0" fontId="17" fillId="34" borderId="21" xfId="0" applyFont="1" applyFill="1" applyBorder="1" applyAlignment="1" applyProtection="1">
      <alignment vertical="center"/>
      <protection/>
    </xf>
    <xf numFmtId="0" fontId="17" fillId="34" borderId="22" xfId="0" applyFont="1" applyFill="1" applyBorder="1" applyAlignment="1" applyProtection="1">
      <alignment vertical="center"/>
      <protection/>
    </xf>
    <xf numFmtId="0" fontId="17" fillId="34" borderId="23" xfId="0" applyFont="1" applyFill="1" applyBorder="1" applyAlignment="1" applyProtection="1">
      <alignment vertical="center"/>
      <protection/>
    </xf>
    <xf numFmtId="43" fontId="15" fillId="33" borderId="24" xfId="40" applyFont="1" applyFill="1" applyBorder="1" applyAlignment="1" applyProtection="1">
      <alignment horizontal="center"/>
      <protection/>
    </xf>
    <xf numFmtId="43" fontId="15" fillId="0" borderId="24" xfId="40" applyFont="1" applyFill="1" applyBorder="1" applyAlignment="1" applyProtection="1">
      <alignment horizontal="center"/>
      <protection/>
    </xf>
    <xf numFmtId="0" fontId="15" fillId="33" borderId="24" xfId="0" applyFont="1" applyFill="1" applyBorder="1" applyAlignment="1" applyProtection="1">
      <alignment horizontal="center" vertical="center" wrapText="1"/>
      <protection/>
    </xf>
    <xf numFmtId="3" fontId="45" fillId="8" borderId="25" xfId="0" applyNumberFormat="1" applyFont="1" applyFill="1" applyBorder="1" applyAlignment="1">
      <alignment vertical="center"/>
    </xf>
    <xf numFmtId="3" fontId="45" fillId="8" borderId="26"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5" fillId="34" borderId="27" xfId="0" applyNumberFormat="1" applyFont="1" applyFill="1" applyBorder="1" applyAlignment="1" applyProtection="1">
      <alignment horizontal="center" vertical="center" wrapText="1"/>
      <protection/>
    </xf>
    <xf numFmtId="4" fontId="15" fillId="34" borderId="28" xfId="0" applyNumberFormat="1" applyFont="1" applyFill="1" applyBorder="1" applyAlignment="1" applyProtection="1">
      <alignment horizontal="center" vertical="center" wrapText="1"/>
      <protection/>
    </xf>
    <xf numFmtId="4" fontId="15" fillId="35" borderId="29" xfId="0" applyNumberFormat="1" applyFont="1" applyFill="1" applyBorder="1" applyAlignment="1" applyProtection="1">
      <alignment horizontal="center" vertical="center" wrapText="1"/>
      <protection/>
    </xf>
    <xf numFmtId="0" fontId="91" fillId="0" borderId="0" xfId="0" applyFont="1" applyAlignment="1">
      <alignment horizontal="center"/>
    </xf>
    <xf numFmtId="0" fontId="91" fillId="0" borderId="0" xfId="0" applyFont="1" applyAlignment="1">
      <alignment horizontal="right"/>
    </xf>
    <xf numFmtId="190" fontId="91" fillId="0" borderId="0" xfId="0" applyNumberFormat="1" applyFont="1" applyAlignment="1">
      <alignment horizontal="right"/>
    </xf>
    <xf numFmtId="49" fontId="91" fillId="0" borderId="0" xfId="0" applyNumberFormat="1" applyFont="1" applyAlignment="1">
      <alignment horizontal="right"/>
    </xf>
    <xf numFmtId="4" fontId="91" fillId="0" borderId="0" xfId="0" applyNumberFormat="1" applyFont="1" applyAlignment="1">
      <alignment horizontal="right"/>
    </xf>
    <xf numFmtId="3" fontId="91" fillId="0" borderId="0" xfId="0" applyNumberFormat="1" applyFont="1" applyAlignment="1">
      <alignment horizontal="right"/>
    </xf>
    <xf numFmtId="0" fontId="25" fillId="11" borderId="30" xfId="0" applyFont="1" applyFill="1" applyBorder="1" applyAlignment="1">
      <alignment horizontal="center"/>
    </xf>
    <xf numFmtId="190" fontId="25" fillId="11" borderId="30" xfId="0" applyNumberFormat="1" applyFont="1" applyFill="1" applyBorder="1" applyAlignment="1">
      <alignment horizontal="center"/>
    </xf>
    <xf numFmtId="49" fontId="25" fillId="11" borderId="30" xfId="0" applyNumberFormat="1" applyFont="1" applyFill="1" applyBorder="1" applyAlignment="1">
      <alignment horizontal="center"/>
    </xf>
    <xf numFmtId="4" fontId="25" fillId="11" borderId="30" xfId="0" applyNumberFormat="1" applyFont="1" applyFill="1" applyBorder="1" applyAlignment="1">
      <alignment horizontal="center"/>
    </xf>
    <xf numFmtId="3" fontId="25" fillId="11" borderId="30" xfId="0" applyNumberFormat="1" applyFont="1" applyFill="1" applyBorder="1" applyAlignment="1">
      <alignment horizontal="center"/>
    </xf>
    <xf numFmtId="0" fontId="91" fillId="0" borderId="10" xfId="0" applyFont="1" applyBorder="1" applyAlignment="1">
      <alignment horizontal="right"/>
    </xf>
    <xf numFmtId="190" fontId="91" fillId="0" borderId="10" xfId="0" applyNumberFormat="1" applyFont="1" applyBorder="1" applyAlignment="1">
      <alignment horizontal="right"/>
    </xf>
    <xf numFmtId="49" fontId="91" fillId="0" borderId="10" xfId="0" applyNumberFormat="1" applyFont="1" applyBorder="1" applyAlignment="1">
      <alignment horizontal="right"/>
    </xf>
    <xf numFmtId="4" fontId="91" fillId="0" borderId="10" xfId="0" applyNumberFormat="1" applyFont="1" applyBorder="1" applyAlignment="1">
      <alignment horizontal="right"/>
    </xf>
    <xf numFmtId="3" fontId="91" fillId="0" borderId="10" xfId="0" applyNumberFormat="1" applyFont="1" applyBorder="1" applyAlignment="1">
      <alignment horizontal="right"/>
    </xf>
    <xf numFmtId="9" fontId="91" fillId="0" borderId="10" xfId="0" applyNumberFormat="1" applyFont="1" applyBorder="1" applyAlignment="1">
      <alignment horizontal="right"/>
    </xf>
    <xf numFmtId="0" fontId="25" fillId="11" borderId="12" xfId="0" applyFont="1" applyFill="1" applyBorder="1" applyAlignment="1">
      <alignment horizontal="center"/>
    </xf>
    <xf numFmtId="190" fontId="25" fillId="11" borderId="12" xfId="0" applyNumberFormat="1" applyFont="1" applyFill="1" applyBorder="1" applyAlignment="1">
      <alignment horizontal="center"/>
    </xf>
    <xf numFmtId="49" fontId="25" fillId="11" borderId="12" xfId="0" applyNumberFormat="1" applyFont="1" applyFill="1" applyBorder="1" applyAlignment="1">
      <alignment horizontal="center"/>
    </xf>
    <xf numFmtId="4" fontId="25" fillId="11" borderId="12" xfId="0" applyNumberFormat="1" applyFont="1" applyFill="1" applyBorder="1" applyAlignment="1">
      <alignment horizontal="center"/>
    </xf>
    <xf numFmtId="3" fontId="25" fillId="11" borderId="12" xfId="0" applyNumberFormat="1" applyFont="1" applyFill="1" applyBorder="1" applyAlignment="1">
      <alignment horizontal="center"/>
    </xf>
    <xf numFmtId="0" fontId="91" fillId="16" borderId="30" xfId="0" applyFont="1" applyFill="1" applyBorder="1" applyAlignment="1">
      <alignment horizontal="right"/>
    </xf>
    <xf numFmtId="190" fontId="91" fillId="16" borderId="30" xfId="0" applyNumberFormat="1" applyFont="1" applyFill="1" applyBorder="1" applyAlignment="1">
      <alignment horizontal="right"/>
    </xf>
    <xf numFmtId="49" fontId="91" fillId="16" borderId="30" xfId="0" applyNumberFormat="1" applyFont="1" applyFill="1" applyBorder="1" applyAlignment="1">
      <alignment horizontal="right"/>
    </xf>
    <xf numFmtId="4" fontId="91" fillId="16" borderId="30" xfId="0" applyNumberFormat="1" applyFont="1" applyFill="1" applyBorder="1" applyAlignment="1">
      <alignment horizontal="right"/>
    </xf>
    <xf numFmtId="3" fontId="91" fillId="16" borderId="30" xfId="0" applyNumberFormat="1" applyFont="1" applyFill="1" applyBorder="1" applyAlignment="1">
      <alignment horizontal="right"/>
    </xf>
    <xf numFmtId="9" fontId="91" fillId="16" borderId="30" xfId="0" applyNumberFormat="1" applyFont="1" applyFill="1" applyBorder="1" applyAlignment="1">
      <alignment horizontal="right"/>
    </xf>
    <xf numFmtId="3" fontId="91" fillId="0" borderId="27" xfId="0" applyNumberFormat="1" applyFont="1" applyBorder="1" applyAlignment="1">
      <alignment horizontal="right"/>
    </xf>
    <xf numFmtId="3" fontId="91" fillId="16" borderId="31" xfId="0" applyNumberFormat="1" applyFont="1" applyFill="1" applyBorder="1" applyAlignment="1">
      <alignment horizontal="right"/>
    </xf>
    <xf numFmtId="4" fontId="91" fillId="0" borderId="32" xfId="0" applyNumberFormat="1" applyFont="1" applyBorder="1" applyAlignment="1">
      <alignment horizontal="right"/>
    </xf>
    <xf numFmtId="4" fontId="91" fillId="16" borderId="33" xfId="0" applyNumberFormat="1" applyFont="1" applyFill="1" applyBorder="1" applyAlignment="1">
      <alignment horizontal="right"/>
    </xf>
    <xf numFmtId="0" fontId="43" fillId="0" borderId="0" xfId="0" applyFont="1" applyAlignment="1">
      <alignment horizontal="center"/>
    </xf>
    <xf numFmtId="49" fontId="43" fillId="0" borderId="0" xfId="0" applyNumberFormat="1" applyFont="1" applyAlignment="1">
      <alignment horizontal="center"/>
    </xf>
    <xf numFmtId="0" fontId="171" fillId="37" borderId="0" xfId="0" applyFont="1" applyFill="1" applyAlignment="1">
      <alignment horizontal="center" vertical="center"/>
    </xf>
    <xf numFmtId="0" fontId="171" fillId="37" borderId="0" xfId="0" applyFont="1" applyFill="1" applyAlignment="1">
      <alignment horizontal="center"/>
    </xf>
    <xf numFmtId="2" fontId="0" fillId="0" borderId="0" xfId="0" applyNumberFormat="1" applyFont="1" applyAlignment="1">
      <alignment/>
    </xf>
    <xf numFmtId="2" fontId="0" fillId="0" borderId="0" xfId="0" applyNumberFormat="1" applyFont="1" applyAlignment="1">
      <alignment horizontal="right"/>
    </xf>
    <xf numFmtId="0" fontId="0" fillId="0" borderId="0" xfId="0" applyFont="1" applyAlignment="1">
      <alignment horizontal="center"/>
    </xf>
    <xf numFmtId="2" fontId="0" fillId="0" borderId="0" xfId="0" applyNumberFormat="1" applyFont="1" applyBorder="1" applyAlignment="1">
      <alignment horizontal="right"/>
    </xf>
    <xf numFmtId="2" fontId="43" fillId="0" borderId="0" xfId="0" applyNumberFormat="1" applyFont="1" applyAlignment="1">
      <alignment horizontal="center"/>
    </xf>
    <xf numFmtId="2" fontId="43" fillId="0" borderId="0" xfId="0" applyNumberFormat="1" applyFont="1" applyAlignment="1">
      <alignment horizontal="right"/>
    </xf>
    <xf numFmtId="0" fontId="43" fillId="0" borderId="0" xfId="0" applyFont="1" applyAlignment="1">
      <alignment horizontal="right"/>
    </xf>
    <xf numFmtId="0" fontId="43" fillId="0" borderId="0" xfId="0" applyFont="1" applyAlignment="1">
      <alignment/>
    </xf>
    <xf numFmtId="0" fontId="172" fillId="37" borderId="0" xfId="0" applyFont="1" applyFill="1" applyAlignment="1">
      <alignment horizontal="center" vertical="center"/>
    </xf>
    <xf numFmtId="0" fontId="172" fillId="0" borderId="0" xfId="0" applyFont="1" applyAlignment="1">
      <alignment/>
    </xf>
    <xf numFmtId="2" fontId="172" fillId="37" borderId="0" xfId="0" applyNumberFormat="1" applyFont="1" applyFill="1" applyAlignment="1">
      <alignment horizontal="right"/>
    </xf>
    <xf numFmtId="0" fontId="172" fillId="0" borderId="0" xfId="0" applyFont="1" applyAlignment="1">
      <alignment horizontal="right"/>
    </xf>
    <xf numFmtId="0" fontId="172" fillId="37" borderId="11" xfId="0" applyFont="1" applyFill="1" applyBorder="1" applyAlignment="1">
      <alignment horizontal="center" vertical="center"/>
    </xf>
    <xf numFmtId="0" fontId="171" fillId="37" borderId="11" xfId="0" applyFont="1" applyFill="1" applyBorder="1" applyAlignment="1">
      <alignment horizontal="center" vertical="center"/>
    </xf>
    <xf numFmtId="0" fontId="171" fillId="37" borderId="11" xfId="0" applyFont="1" applyFill="1" applyBorder="1" applyAlignment="1">
      <alignment horizontal="center"/>
    </xf>
    <xf numFmtId="0" fontId="43" fillId="0" borderId="11" xfId="0" applyFont="1" applyBorder="1" applyAlignment="1">
      <alignment/>
    </xf>
    <xf numFmtId="2" fontId="172" fillId="37" borderId="11" xfId="0" applyNumberFormat="1" applyFont="1" applyFill="1" applyBorder="1" applyAlignment="1">
      <alignment horizontal="right"/>
    </xf>
    <xf numFmtId="2" fontId="0" fillId="0" borderId="11" xfId="0" applyNumberFormat="1" applyFont="1" applyBorder="1" applyAlignment="1">
      <alignment horizontal="right"/>
    </xf>
    <xf numFmtId="0" fontId="0" fillId="0" borderId="11" xfId="0" applyFont="1" applyBorder="1" applyAlignment="1">
      <alignment horizontal="center"/>
    </xf>
    <xf numFmtId="2" fontId="0" fillId="0" borderId="11" xfId="0" applyNumberFormat="1" applyFont="1" applyBorder="1" applyAlignment="1">
      <alignment/>
    </xf>
    <xf numFmtId="0" fontId="63" fillId="0" borderId="0" xfId="0" applyFont="1" applyAlignment="1">
      <alignment/>
    </xf>
    <xf numFmtId="0" fontId="43" fillId="38" borderId="0" xfId="0" applyFont="1" applyFill="1" applyAlignment="1">
      <alignment/>
    </xf>
    <xf numFmtId="0" fontId="43" fillId="36" borderId="0" xfId="0" applyFont="1" applyFill="1" applyAlignment="1">
      <alignment/>
    </xf>
    <xf numFmtId="0" fontId="63" fillId="36" borderId="0" xfId="0" applyFont="1" applyFill="1" applyAlignment="1">
      <alignment/>
    </xf>
    <xf numFmtId="0" fontId="63" fillId="36" borderId="0" xfId="0" applyFont="1" applyFill="1" applyAlignment="1">
      <alignment horizontal="center"/>
    </xf>
    <xf numFmtId="0" fontId="43" fillId="36" borderId="11" xfId="0" applyFont="1" applyFill="1" applyBorder="1" applyAlignment="1">
      <alignment/>
    </xf>
    <xf numFmtId="0" fontId="63" fillId="36" borderId="11" xfId="0" applyFont="1" applyFill="1" applyBorder="1" applyAlignment="1">
      <alignment horizontal="center"/>
    </xf>
    <xf numFmtId="2" fontId="43" fillId="39" borderId="11" xfId="0" applyNumberFormat="1" applyFont="1" applyFill="1" applyBorder="1" applyAlignment="1">
      <alignment/>
    </xf>
    <xf numFmtId="0" fontId="173" fillId="38" borderId="0" xfId="0" applyFont="1" applyFill="1" applyAlignment="1">
      <alignment horizontal="left"/>
    </xf>
    <xf numFmtId="0" fontId="173" fillId="36" borderId="0" xfId="0" applyFont="1" applyFill="1" applyAlignment="1">
      <alignment horizontal="left"/>
    </xf>
    <xf numFmtId="0" fontId="173" fillId="38" borderId="0" xfId="0" applyFont="1" applyFill="1" applyAlignment="1" applyProtection="1">
      <alignment horizontal="left" vertical="center"/>
      <protection locked="0"/>
    </xf>
    <xf numFmtId="0" fontId="173" fillId="36" borderId="11" xfId="0" applyFont="1" applyFill="1" applyBorder="1" applyAlignment="1">
      <alignment horizontal="left"/>
    </xf>
    <xf numFmtId="0" fontId="67" fillId="38" borderId="0" xfId="0" applyFont="1" applyFill="1" applyAlignment="1">
      <alignment horizontal="left"/>
    </xf>
    <xf numFmtId="0" fontId="67" fillId="36" borderId="0" xfId="0" applyFont="1" applyFill="1" applyAlignment="1">
      <alignment horizontal="left"/>
    </xf>
    <xf numFmtId="0" fontId="67" fillId="38" borderId="0" xfId="0" applyFont="1" applyFill="1" applyAlignment="1" applyProtection="1">
      <alignment horizontal="left" vertical="center"/>
      <protection locked="0"/>
    </xf>
    <xf numFmtId="0" fontId="67" fillId="36" borderId="11" xfId="0" applyFont="1" applyFill="1" applyBorder="1" applyAlignment="1">
      <alignment horizontal="left"/>
    </xf>
    <xf numFmtId="0" fontId="174" fillId="38" borderId="0" xfId="0" applyFont="1" applyFill="1" applyAlignment="1">
      <alignment/>
    </xf>
    <xf numFmtId="0" fontId="174" fillId="0" borderId="0" xfId="0" applyFont="1" applyAlignment="1">
      <alignment/>
    </xf>
    <xf numFmtId="0" fontId="175" fillId="38" borderId="0" xfId="0" applyFont="1" applyFill="1" applyAlignment="1">
      <alignment/>
    </xf>
    <xf numFmtId="0" fontId="175" fillId="0" borderId="0" xfId="0" applyFont="1" applyAlignment="1">
      <alignment/>
    </xf>
    <xf numFmtId="0" fontId="176" fillId="38" borderId="0" xfId="0" applyFont="1" applyFill="1" applyAlignment="1">
      <alignment/>
    </xf>
    <xf numFmtId="0" fontId="174" fillId="36" borderId="0" xfId="0" applyFont="1" applyFill="1" applyAlignment="1">
      <alignment/>
    </xf>
    <xf numFmtId="0" fontId="176" fillId="0" borderId="11" xfId="0" applyFont="1" applyBorder="1" applyAlignment="1">
      <alignment/>
    </xf>
    <xf numFmtId="0" fontId="0" fillId="36" borderId="0" xfId="0" applyFill="1" applyAlignment="1">
      <alignment/>
    </xf>
    <xf numFmtId="204" fontId="33" fillId="35" borderId="11" xfId="0" applyNumberFormat="1" applyFont="1" applyFill="1" applyBorder="1" applyAlignment="1" applyProtection="1">
      <alignment vertical="center"/>
      <protection/>
    </xf>
    <xf numFmtId="0" fontId="33" fillId="35" borderId="11" xfId="0" applyFont="1" applyFill="1" applyBorder="1" applyAlignment="1" applyProtection="1">
      <alignment vertical="center"/>
      <protection/>
    </xf>
    <xf numFmtId="0" fontId="11" fillId="35" borderId="11" xfId="0" applyNumberFormat="1" applyFont="1" applyFill="1" applyBorder="1" applyAlignment="1" applyProtection="1">
      <alignment vertical="center"/>
      <protection/>
    </xf>
    <xf numFmtId="190"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0" fontId="11" fillId="35" borderId="11" xfId="0" applyFont="1" applyFill="1" applyBorder="1" applyAlignment="1">
      <alignment vertical="center"/>
    </xf>
    <xf numFmtId="4" fontId="11" fillId="35" borderId="11" xfId="40" applyNumberFormat="1" applyFont="1" applyFill="1" applyBorder="1" applyAlignment="1">
      <alignment vertical="center"/>
    </xf>
    <xf numFmtId="3" fontId="11" fillId="35" borderId="11" xfId="40" applyNumberFormat="1" applyFont="1" applyFill="1" applyBorder="1" applyAlignment="1">
      <alignment vertical="center"/>
    </xf>
    <xf numFmtId="4" fontId="45" fillId="35" borderId="11" xfId="40" applyNumberFormat="1" applyFont="1" applyFill="1" applyBorder="1" applyAlignment="1">
      <alignment vertical="center"/>
    </xf>
    <xf numFmtId="3" fontId="45" fillId="35" borderId="11" xfId="40" applyNumberFormat="1" applyFont="1" applyFill="1" applyBorder="1" applyAlignment="1">
      <alignment vertical="center"/>
    </xf>
    <xf numFmtId="3" fontId="45" fillId="35" borderId="11" xfId="70" applyNumberFormat="1" applyFont="1" applyFill="1" applyBorder="1" applyAlignment="1" applyProtection="1">
      <alignment vertical="center"/>
      <protection/>
    </xf>
    <xf numFmtId="4" fontId="45" fillId="35" borderId="11" xfId="70" applyNumberFormat="1" applyFont="1" applyFill="1" applyBorder="1" applyAlignment="1" applyProtection="1">
      <alignment vertical="center"/>
      <protection/>
    </xf>
    <xf numFmtId="192" fontId="45" fillId="35" borderId="11" xfId="70" applyNumberFormat="1" applyFont="1" applyFill="1" applyBorder="1" applyAlignment="1" applyProtection="1">
      <alignment vertical="center"/>
      <protection/>
    </xf>
    <xf numFmtId="4" fontId="45" fillId="35" borderId="11" xfId="0" applyNumberFormat="1" applyFont="1" applyFill="1" applyBorder="1" applyAlignment="1">
      <alignment vertical="center"/>
    </xf>
    <xf numFmtId="3" fontId="45" fillId="35" borderId="11" xfId="0" applyNumberFormat="1" applyFont="1" applyFill="1" applyBorder="1" applyAlignment="1">
      <alignment vertical="center"/>
    </xf>
    <xf numFmtId="192" fontId="11" fillId="35" borderId="11" xfId="70" applyNumberFormat="1" applyFont="1" applyFill="1" applyBorder="1" applyAlignment="1" applyProtection="1">
      <alignment vertical="center"/>
      <protection/>
    </xf>
    <xf numFmtId="3" fontId="11" fillId="35" borderId="11" xfId="70" applyNumberFormat="1" applyFont="1" applyFill="1" applyBorder="1" applyAlignment="1" applyProtection="1">
      <alignment vertical="center"/>
      <protection/>
    </xf>
    <xf numFmtId="4" fontId="11" fillId="35" borderId="11" xfId="70" applyNumberFormat="1" applyFont="1" applyFill="1" applyBorder="1" applyAlignment="1" applyProtection="1">
      <alignment vertical="center"/>
      <protection/>
    </xf>
    <xf numFmtId="186" fontId="46" fillId="35" borderId="11" xfId="43" applyNumberFormat="1" applyFont="1" applyFill="1" applyBorder="1" applyAlignment="1" applyProtection="1">
      <alignment vertical="center"/>
      <protection/>
    </xf>
    <xf numFmtId="0" fontId="33" fillId="36" borderId="17" xfId="0" applyNumberFormat="1" applyFont="1" applyFill="1" applyBorder="1" applyAlignment="1" applyProtection="1">
      <alignment horizontal="center" vertical="center"/>
      <protection/>
    </xf>
    <xf numFmtId="0" fontId="45" fillId="7" borderId="17" xfId="0" applyNumberFormat="1" applyFont="1" applyFill="1" applyBorder="1" applyAlignment="1" applyProtection="1">
      <alignment vertical="center"/>
      <protection locked="0"/>
    </xf>
    <xf numFmtId="0" fontId="177" fillId="36" borderId="17" xfId="0" applyNumberFormat="1" applyFont="1" applyFill="1" applyBorder="1" applyAlignment="1" applyProtection="1">
      <alignment horizontal="center" vertical="center"/>
      <protection/>
    </xf>
    <xf numFmtId="0" fontId="45" fillId="7" borderId="17" xfId="0" applyNumberFormat="1" applyFont="1" applyFill="1" applyBorder="1" applyAlignment="1">
      <alignment vertical="center"/>
    </xf>
    <xf numFmtId="0" fontId="33" fillId="40" borderId="17" xfId="0" applyNumberFormat="1" applyFont="1" applyFill="1" applyBorder="1" applyAlignment="1" applyProtection="1">
      <alignment horizontal="center" vertical="center"/>
      <protection/>
    </xf>
    <xf numFmtId="204" fontId="45" fillId="7" borderId="17" xfId="0" applyNumberFormat="1" applyFont="1" applyFill="1" applyBorder="1" applyAlignment="1">
      <alignment vertical="center"/>
    </xf>
    <xf numFmtId="0" fontId="177" fillId="41" borderId="17" xfId="0" applyNumberFormat="1" applyFont="1" applyFill="1" applyBorder="1" applyAlignment="1" applyProtection="1">
      <alignment horizontal="center" vertical="center"/>
      <protection/>
    </xf>
    <xf numFmtId="0" fontId="45" fillId="7" borderId="17" xfId="0" applyFont="1" applyFill="1" applyBorder="1" applyAlignment="1" applyProtection="1">
      <alignment vertical="center"/>
      <protection locked="0"/>
    </xf>
    <xf numFmtId="0" fontId="45" fillId="7" borderId="17" xfId="0" applyFont="1" applyFill="1" applyBorder="1" applyAlignment="1">
      <alignment vertical="center"/>
    </xf>
    <xf numFmtId="0" fontId="45" fillId="7" borderId="17" xfId="0" applyNumberFormat="1" applyFont="1" applyFill="1" applyBorder="1" applyAlignment="1" applyProtection="1">
      <alignment vertical="center"/>
      <protection/>
    </xf>
    <xf numFmtId="0" fontId="45" fillId="7" borderId="17" xfId="57" applyFont="1" applyFill="1" applyBorder="1" applyAlignment="1">
      <alignment vertical="center"/>
      <protection/>
    </xf>
    <xf numFmtId="0" fontId="11" fillId="0" borderId="17" xfId="0" applyNumberFormat="1" applyFont="1" applyFill="1" applyBorder="1" applyAlignment="1" applyProtection="1">
      <alignment horizontal="right" vertical="center"/>
      <protection locked="0"/>
    </xf>
    <xf numFmtId="4" fontId="11" fillId="0" borderId="17" xfId="0" applyNumberFormat="1" applyFont="1" applyFill="1" applyBorder="1" applyAlignment="1">
      <alignment horizontal="right" vertical="center"/>
    </xf>
    <xf numFmtId="2" fontId="11" fillId="8" borderId="17" xfId="0" applyNumberFormat="1" applyFont="1" applyFill="1" applyBorder="1" applyAlignment="1" applyProtection="1">
      <alignment horizontal="right" vertical="center"/>
      <protection/>
    </xf>
    <xf numFmtId="0" fontId="11" fillId="0" borderId="17" xfId="0" applyFont="1" applyFill="1" applyBorder="1" applyAlignment="1">
      <alignment horizontal="right" vertical="center"/>
    </xf>
    <xf numFmtId="0" fontId="11" fillId="0" borderId="17" xfId="0" applyFont="1" applyFill="1" applyBorder="1" applyAlignment="1" applyProtection="1">
      <alignment horizontal="right" vertical="center"/>
      <protection locked="0"/>
    </xf>
    <xf numFmtId="3" fontId="11" fillId="0" borderId="17" xfId="0" applyNumberFormat="1" applyFont="1" applyFill="1" applyBorder="1" applyAlignment="1">
      <alignment horizontal="right" vertical="center"/>
    </xf>
    <xf numFmtId="190" fontId="11" fillId="0" borderId="17" xfId="0" applyNumberFormat="1" applyFont="1" applyFill="1" applyBorder="1" applyAlignment="1" applyProtection="1">
      <alignment horizontal="center" vertical="center"/>
      <protection/>
    </xf>
    <xf numFmtId="0" fontId="11" fillId="7" borderId="34" xfId="0" applyNumberFormat="1" applyFont="1" applyFill="1" applyBorder="1" applyAlignment="1" applyProtection="1">
      <alignment vertical="center"/>
      <protection/>
    </xf>
    <xf numFmtId="190" fontId="11" fillId="7" borderId="17" xfId="0" applyNumberFormat="1" applyFont="1" applyFill="1" applyBorder="1" applyAlignment="1" applyProtection="1">
      <alignment horizontal="center" vertical="center"/>
      <protection locked="0"/>
    </xf>
    <xf numFmtId="190" fontId="11" fillId="7" borderId="17" xfId="0" applyNumberFormat="1" applyFont="1" applyFill="1" applyBorder="1" applyAlignment="1" applyProtection="1">
      <alignment horizontal="center" vertical="center"/>
      <protection/>
    </xf>
    <xf numFmtId="0" fontId="177" fillId="42" borderId="17" xfId="0" applyNumberFormat="1" applyFont="1" applyFill="1" applyBorder="1" applyAlignment="1" applyProtection="1">
      <alignment horizontal="center" vertical="center"/>
      <protection/>
    </xf>
    <xf numFmtId="0" fontId="177" fillId="43" borderId="17" xfId="0" applyNumberFormat="1" applyFont="1" applyFill="1" applyBorder="1" applyAlignment="1" applyProtection="1">
      <alignment horizontal="center" vertical="center"/>
      <protection/>
    </xf>
    <xf numFmtId="0" fontId="33" fillId="44" borderId="17" xfId="0" applyNumberFormat="1" applyFont="1" applyFill="1" applyBorder="1" applyAlignment="1" applyProtection="1">
      <alignment horizontal="center" vertical="center"/>
      <protection/>
    </xf>
    <xf numFmtId="0" fontId="33" fillId="45" borderId="17" xfId="0" applyNumberFormat="1" applyFont="1" applyFill="1" applyBorder="1" applyAlignment="1" applyProtection="1">
      <alignment horizontal="center" vertical="center"/>
      <protection/>
    </xf>
    <xf numFmtId="0" fontId="33" fillId="46" borderId="17" xfId="0" applyNumberFormat="1" applyFont="1" applyFill="1" applyBorder="1" applyAlignment="1" applyProtection="1">
      <alignment horizontal="center" vertical="center"/>
      <protection/>
    </xf>
    <xf numFmtId="0" fontId="177" fillId="47" borderId="17" xfId="0" applyNumberFormat="1" applyFont="1" applyFill="1" applyBorder="1" applyAlignment="1" applyProtection="1">
      <alignment horizontal="center" vertical="center"/>
      <protection/>
    </xf>
    <xf numFmtId="0" fontId="177" fillId="48" borderId="17" xfId="0" applyNumberFormat="1" applyFont="1" applyFill="1" applyBorder="1" applyAlignment="1" applyProtection="1">
      <alignment horizontal="center" vertical="center"/>
      <protection/>
    </xf>
    <xf numFmtId="2" fontId="0" fillId="0" borderId="0" xfId="0" applyNumberFormat="1" applyFont="1" applyAlignment="1">
      <alignment/>
    </xf>
    <xf numFmtId="0" fontId="174" fillId="38" borderId="11" xfId="0" applyFont="1" applyFill="1" applyBorder="1" applyAlignment="1">
      <alignment/>
    </xf>
    <xf numFmtId="0" fontId="67" fillId="38" borderId="11" xfId="0" applyFont="1" applyFill="1" applyBorder="1" applyAlignment="1">
      <alignment horizontal="left"/>
    </xf>
    <xf numFmtId="0" fontId="176" fillId="36" borderId="0" xfId="0" applyFont="1" applyFill="1" applyAlignment="1">
      <alignment/>
    </xf>
    <xf numFmtId="0" fontId="43" fillId="0" borderId="0" xfId="0" applyFont="1" applyBorder="1" applyAlignment="1">
      <alignment/>
    </xf>
    <xf numFmtId="0" fontId="67" fillId="36" borderId="0" xfId="0" applyFont="1" applyFill="1" applyBorder="1" applyAlignment="1">
      <alignment horizontal="left"/>
    </xf>
    <xf numFmtId="0" fontId="0" fillId="0" borderId="0" xfId="0" applyFont="1" applyBorder="1" applyAlignment="1">
      <alignment horizontal="center"/>
    </xf>
    <xf numFmtId="0" fontId="63" fillId="0" borderId="0" xfId="0" applyFont="1" applyBorder="1" applyAlignment="1">
      <alignment/>
    </xf>
    <xf numFmtId="0" fontId="172" fillId="0" borderId="0" xfId="0" applyFont="1" applyBorder="1" applyAlignment="1">
      <alignment/>
    </xf>
    <xf numFmtId="0" fontId="0" fillId="0" borderId="0" xfId="0" applyBorder="1" applyAlignment="1">
      <alignment/>
    </xf>
    <xf numFmtId="2" fontId="172" fillId="37" borderId="0" xfId="0" applyNumberFormat="1" applyFont="1" applyFill="1" applyAlignment="1">
      <alignment/>
    </xf>
    <xf numFmtId="0" fontId="43" fillId="38" borderId="11" xfId="0" applyFont="1" applyFill="1" applyBorder="1" applyAlignment="1">
      <alignment/>
    </xf>
    <xf numFmtId="2" fontId="172" fillId="37" borderId="11" xfId="0" applyNumberFormat="1" applyFont="1" applyFill="1"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91" fillId="0" borderId="30" xfId="0" applyFont="1" applyBorder="1" applyAlignment="1">
      <alignment horizontal="right"/>
    </xf>
    <xf numFmtId="190" fontId="91" fillId="0" borderId="30" xfId="0" applyNumberFormat="1" applyFont="1" applyBorder="1" applyAlignment="1">
      <alignment horizontal="right"/>
    </xf>
    <xf numFmtId="49" fontId="91" fillId="0" borderId="30" xfId="0" applyNumberFormat="1" applyFont="1" applyBorder="1" applyAlignment="1">
      <alignment horizontal="right"/>
    </xf>
    <xf numFmtId="4" fontId="91" fillId="0" borderId="30" xfId="0" applyNumberFormat="1" applyFont="1" applyBorder="1" applyAlignment="1">
      <alignment horizontal="right"/>
    </xf>
    <xf numFmtId="3" fontId="91" fillId="0" borderId="30" xfId="0" applyNumberFormat="1" applyFont="1" applyBorder="1" applyAlignment="1">
      <alignment horizontal="right"/>
    </xf>
    <xf numFmtId="9" fontId="91" fillId="0" borderId="30" xfId="0" applyNumberFormat="1" applyFont="1" applyBorder="1" applyAlignment="1">
      <alignment horizontal="right"/>
    </xf>
    <xf numFmtId="0" fontId="91" fillId="0" borderId="30" xfId="0" applyFont="1" applyBorder="1" applyAlignment="1">
      <alignment horizontal="center"/>
    </xf>
    <xf numFmtId="0" fontId="11" fillId="7" borderId="34" xfId="0" applyFont="1" applyFill="1" applyBorder="1" applyAlignment="1">
      <alignment vertical="center"/>
    </xf>
    <xf numFmtId="0" fontId="68" fillId="0" borderId="0" xfId="0" applyFont="1" applyFill="1" applyBorder="1" applyAlignment="1" applyProtection="1">
      <alignment horizontal="center" vertical="center"/>
      <protection/>
    </xf>
    <xf numFmtId="0" fontId="69" fillId="49" borderId="0" xfId="0" applyFont="1" applyFill="1" applyBorder="1" applyAlignment="1" applyProtection="1">
      <alignment horizontal="center" vertical="center"/>
      <protection/>
    </xf>
    <xf numFmtId="0" fontId="11" fillId="7" borderId="17" xfId="0" applyFont="1" applyFill="1" applyBorder="1" applyAlignment="1">
      <alignment horizontal="right" vertical="center"/>
    </xf>
    <xf numFmtId="0" fontId="11" fillId="7" borderId="17" xfId="0" applyFont="1" applyFill="1" applyBorder="1" applyAlignment="1" applyProtection="1">
      <alignment horizontal="right" vertical="center"/>
      <protection locked="0"/>
    </xf>
    <xf numFmtId="1" fontId="11" fillId="7" borderId="17" xfId="0" applyNumberFormat="1" applyFont="1" applyFill="1" applyBorder="1" applyAlignment="1">
      <alignment horizontal="right"/>
    </xf>
    <xf numFmtId="0" fontId="11" fillId="7" borderId="17" xfId="0" applyNumberFormat="1" applyFont="1" applyFill="1" applyBorder="1" applyAlignment="1" applyProtection="1">
      <alignment horizontal="right" vertical="center"/>
      <protection locked="0"/>
    </xf>
    <xf numFmtId="0" fontId="11" fillId="7" borderId="17" xfId="0" applyFont="1" applyFill="1" applyBorder="1" applyAlignment="1">
      <alignment vertical="center"/>
    </xf>
    <xf numFmtId="0" fontId="11" fillId="0" borderId="17" xfId="0" applyFont="1" applyFill="1" applyBorder="1" applyAlignment="1">
      <alignment vertical="center"/>
    </xf>
    <xf numFmtId="4" fontId="11" fillId="0" borderId="17" xfId="43" applyNumberFormat="1" applyFont="1" applyFill="1" applyBorder="1" applyAlignment="1" applyProtection="1">
      <alignment vertical="center"/>
      <protection/>
    </xf>
    <xf numFmtId="4" fontId="11" fillId="0" borderId="17" xfId="0" applyNumberFormat="1" applyFont="1" applyFill="1" applyBorder="1" applyAlignment="1">
      <alignment vertical="center"/>
    </xf>
    <xf numFmtId="3" fontId="11" fillId="0" borderId="17" xfId="0" applyNumberFormat="1" applyFont="1" applyFill="1" applyBorder="1" applyAlignment="1">
      <alignment vertical="center"/>
    </xf>
    <xf numFmtId="4" fontId="11" fillId="36" borderId="17" xfId="0" applyNumberFormat="1" applyFont="1" applyFill="1" applyBorder="1" applyAlignment="1">
      <alignment vertical="center"/>
    </xf>
    <xf numFmtId="3" fontId="11" fillId="36" borderId="17" xfId="0" applyNumberFormat="1" applyFont="1" applyFill="1" applyBorder="1" applyAlignment="1">
      <alignment vertical="center"/>
    </xf>
    <xf numFmtId="2" fontId="11" fillId="8" borderId="17" xfId="0" applyNumberFormat="1" applyFont="1" applyFill="1" applyBorder="1" applyAlignment="1" applyProtection="1">
      <alignment vertical="center"/>
      <protection/>
    </xf>
    <xf numFmtId="190" fontId="11" fillId="0" borderId="17" xfId="0" applyNumberFormat="1" applyFont="1" applyFill="1" applyBorder="1" applyAlignment="1" applyProtection="1">
      <alignment vertical="center"/>
      <protection/>
    </xf>
    <xf numFmtId="0" fontId="11" fillId="7" borderId="17" xfId="0" applyNumberFormat="1" applyFont="1" applyFill="1" applyBorder="1" applyAlignment="1" applyProtection="1">
      <alignment vertical="center"/>
      <protection locked="0"/>
    </xf>
    <xf numFmtId="0" fontId="11" fillId="0" borderId="17" xfId="0" applyNumberFormat="1" applyFont="1" applyFill="1" applyBorder="1" applyAlignment="1" applyProtection="1">
      <alignment vertical="center"/>
      <protection locked="0"/>
    </xf>
    <xf numFmtId="4" fontId="11" fillId="0" borderId="17" xfId="42" applyNumberFormat="1" applyFont="1" applyFill="1" applyBorder="1" applyAlignment="1" applyProtection="1">
      <alignment vertical="center"/>
      <protection locked="0"/>
    </xf>
    <xf numFmtId="3" fontId="11" fillId="0" borderId="17" xfId="42" applyNumberFormat="1" applyFont="1" applyFill="1" applyBorder="1" applyAlignment="1" applyProtection="1">
      <alignment vertical="center"/>
      <protection locked="0"/>
    </xf>
    <xf numFmtId="4" fontId="11" fillId="0" borderId="17" xfId="43" applyNumberFormat="1"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3" fontId="11" fillId="0" borderId="17" xfId="43" applyNumberFormat="1" applyFont="1" applyFill="1" applyBorder="1" applyAlignment="1" applyProtection="1">
      <alignment vertical="center"/>
      <protection locked="0"/>
    </xf>
    <xf numFmtId="4" fontId="11" fillId="0" borderId="17" xfId="40" applyNumberFormat="1" applyFont="1" applyFill="1" applyBorder="1" applyAlignment="1" applyProtection="1">
      <alignment vertical="center"/>
      <protection/>
    </xf>
    <xf numFmtId="1" fontId="11" fillId="7" borderId="17" xfId="0" applyNumberFormat="1" applyFont="1" applyFill="1" applyBorder="1" applyAlignment="1">
      <alignment vertical="center"/>
    </xf>
    <xf numFmtId="1" fontId="11" fillId="0" borderId="17" xfId="0" applyNumberFormat="1" applyFont="1" applyFill="1" applyBorder="1" applyAlignment="1">
      <alignment vertical="center"/>
    </xf>
    <xf numFmtId="4" fontId="11" fillId="0" borderId="17" xfId="0" applyNumberFormat="1" applyFont="1" applyBorder="1" applyAlignment="1">
      <alignment vertical="center"/>
    </xf>
    <xf numFmtId="3" fontId="11" fillId="0" borderId="17" xfId="0" applyNumberFormat="1" applyFont="1" applyBorder="1" applyAlignment="1">
      <alignment vertical="center"/>
    </xf>
    <xf numFmtId="0" fontId="11" fillId="7" borderId="17" xfId="0" applyFont="1" applyFill="1" applyBorder="1" applyAlignment="1" applyProtection="1">
      <alignment vertical="center"/>
      <protection locked="0"/>
    </xf>
    <xf numFmtId="4" fontId="11" fillId="0" borderId="17" xfId="44" applyNumberFormat="1" applyFont="1" applyFill="1" applyBorder="1" applyAlignment="1" applyProtection="1">
      <alignment vertical="center"/>
      <protection locked="0"/>
    </xf>
    <xf numFmtId="3" fontId="11" fillId="0" borderId="17" xfId="44" applyNumberFormat="1" applyFont="1" applyFill="1" applyBorder="1" applyAlignment="1" applyProtection="1">
      <alignment vertical="center"/>
      <protection locked="0"/>
    </xf>
    <xf numFmtId="0" fontId="11" fillId="7" borderId="17" xfId="0" applyNumberFormat="1" applyFont="1" applyFill="1" applyBorder="1" applyAlignment="1">
      <alignment vertical="center"/>
    </xf>
    <xf numFmtId="4" fontId="45" fillId="0" borderId="17" xfId="0" applyNumberFormat="1" applyFont="1" applyFill="1" applyBorder="1" applyAlignment="1">
      <alignment vertical="center"/>
    </xf>
    <xf numFmtId="3" fontId="45" fillId="0" borderId="17" xfId="0" applyNumberFormat="1" applyFont="1" applyFill="1" applyBorder="1" applyAlignment="1">
      <alignment vertical="center"/>
    </xf>
    <xf numFmtId="4" fontId="45" fillId="0" borderId="17" xfId="40" applyNumberFormat="1" applyFont="1" applyFill="1" applyBorder="1" applyAlignment="1" applyProtection="1">
      <alignment vertical="center"/>
      <protection locked="0"/>
    </xf>
    <xf numFmtId="3" fontId="45" fillId="0" borderId="17" xfId="40" applyNumberFormat="1" applyFont="1" applyFill="1" applyBorder="1" applyAlignment="1" applyProtection="1">
      <alignment vertical="center"/>
      <protection locked="0"/>
    </xf>
    <xf numFmtId="4" fontId="45" fillId="0" borderId="17" xfId="43" applyNumberFormat="1" applyFont="1" applyFill="1" applyBorder="1" applyAlignment="1" applyProtection="1">
      <alignment vertical="center"/>
      <protection locked="0"/>
    </xf>
    <xf numFmtId="3" fontId="45" fillId="0" borderId="17" xfId="43" applyNumberFormat="1" applyFont="1" applyFill="1" applyBorder="1" applyAlignment="1" applyProtection="1">
      <alignment vertical="center"/>
      <protection locked="0"/>
    </xf>
    <xf numFmtId="4" fontId="45" fillId="0" borderId="17" xfId="40" applyNumberFormat="1" applyFont="1" applyFill="1" applyBorder="1" applyAlignment="1" applyProtection="1">
      <alignment vertical="center"/>
      <protection/>
    </xf>
    <xf numFmtId="3" fontId="45" fillId="0" borderId="17" xfId="40" applyNumberFormat="1" applyFont="1" applyFill="1" applyBorder="1" applyAlignment="1" applyProtection="1">
      <alignment vertical="center"/>
      <protection/>
    </xf>
    <xf numFmtId="4" fontId="45" fillId="0" borderId="17" xfId="44" applyNumberFormat="1" applyFont="1" applyFill="1" applyBorder="1" applyAlignment="1" applyProtection="1">
      <alignment vertical="center"/>
      <protection locked="0"/>
    </xf>
    <xf numFmtId="3" fontId="45" fillId="0" borderId="17" xfId="44" applyNumberFormat="1" applyFont="1" applyFill="1" applyBorder="1" applyAlignment="1" applyProtection="1">
      <alignment vertical="center"/>
      <protection locked="0"/>
    </xf>
    <xf numFmtId="0" fontId="178" fillId="7" borderId="17" xfId="0" applyFont="1" applyFill="1" applyBorder="1" applyAlignment="1">
      <alignment vertical="center"/>
    </xf>
    <xf numFmtId="190" fontId="11" fillId="7" borderId="17" xfId="0" applyNumberFormat="1" applyFont="1" applyFill="1" applyBorder="1" applyAlignment="1">
      <alignment horizontal="center" vertical="center"/>
    </xf>
    <xf numFmtId="0" fontId="43" fillId="36" borderId="0" xfId="0" applyFont="1" applyFill="1" applyBorder="1" applyAlignment="1">
      <alignment/>
    </xf>
    <xf numFmtId="2" fontId="172" fillId="37" borderId="0" xfId="0" applyNumberFormat="1" applyFont="1" applyFill="1" applyBorder="1" applyAlignment="1">
      <alignment/>
    </xf>
    <xf numFmtId="2" fontId="0" fillId="0" borderId="0" xfId="0" applyNumberFormat="1" applyBorder="1" applyAlignment="1">
      <alignment/>
    </xf>
    <xf numFmtId="0" fontId="0" fillId="0" borderId="0" xfId="0" applyFont="1" applyFill="1" applyBorder="1" applyAlignment="1">
      <alignment horizontal="center"/>
    </xf>
    <xf numFmtId="0" fontId="179" fillId="0" borderId="0" xfId="0" applyFont="1" applyAlignment="1">
      <alignment horizontal="center"/>
    </xf>
    <xf numFmtId="0" fontId="180" fillId="7" borderId="17" xfId="0" applyNumberFormat="1" applyFont="1" applyFill="1" applyBorder="1" applyAlignment="1" applyProtection="1">
      <alignment vertical="center"/>
      <protection locked="0"/>
    </xf>
    <xf numFmtId="0" fontId="180" fillId="7" borderId="17" xfId="0" applyFont="1" applyFill="1" applyBorder="1" applyAlignment="1">
      <alignment vertical="center"/>
    </xf>
    <xf numFmtId="0" fontId="180" fillId="7" borderId="17" xfId="0" applyNumberFormat="1" applyFont="1" applyFill="1" applyBorder="1" applyAlignment="1">
      <alignment vertical="center"/>
    </xf>
    <xf numFmtId="0" fontId="33" fillId="0" borderId="20" xfId="0" applyFont="1" applyBorder="1" applyAlignment="1">
      <alignment horizontal="center"/>
    </xf>
    <xf numFmtId="0" fontId="11" fillId="7" borderId="34" xfId="0" applyFont="1" applyFill="1" applyBorder="1" applyAlignment="1" applyProtection="1">
      <alignment vertical="center"/>
      <protection/>
    </xf>
    <xf numFmtId="0" fontId="11" fillId="0" borderId="34" xfId="0" applyFont="1" applyFill="1" applyBorder="1" applyAlignment="1">
      <alignment vertical="center"/>
    </xf>
    <xf numFmtId="0" fontId="11" fillId="0" borderId="17" xfId="0" applyFont="1" applyFill="1" applyBorder="1" applyAlignment="1">
      <alignment horizontal="right" vertical="center" shrinkToFit="1"/>
    </xf>
    <xf numFmtId="4" fontId="45" fillId="36" borderId="17" xfId="43" applyNumberFormat="1" applyFont="1" applyFill="1" applyBorder="1" applyAlignment="1" applyProtection="1">
      <alignment horizontal="right" vertical="center"/>
      <protection locked="0"/>
    </xf>
    <xf numFmtId="3" fontId="45" fillId="36" borderId="17" xfId="43" applyNumberFormat="1" applyFont="1" applyFill="1" applyBorder="1" applyAlignment="1" applyProtection="1">
      <alignment horizontal="right" vertical="center"/>
      <protection locked="0"/>
    </xf>
    <xf numFmtId="4" fontId="11" fillId="36" borderId="17" xfId="43" applyNumberFormat="1" applyFont="1" applyFill="1" applyBorder="1" applyAlignment="1" applyProtection="1">
      <alignment horizontal="right" vertical="center"/>
      <protection locked="0"/>
    </xf>
    <xf numFmtId="3" fontId="11" fillId="36" borderId="17" xfId="43" applyNumberFormat="1" applyFont="1" applyFill="1" applyBorder="1" applyAlignment="1" applyProtection="1">
      <alignment horizontal="right" vertical="center"/>
      <protection locked="0"/>
    </xf>
    <xf numFmtId="190" fontId="11" fillId="36" borderId="17" xfId="0" applyNumberFormat="1" applyFont="1" applyFill="1" applyBorder="1" applyAlignment="1" applyProtection="1">
      <alignment horizontal="center" vertical="center"/>
      <protection/>
    </xf>
    <xf numFmtId="4" fontId="45" fillId="36" borderId="17" xfId="0" applyNumberFormat="1" applyFont="1" applyFill="1" applyBorder="1" applyAlignment="1">
      <alignment horizontal="right"/>
    </xf>
    <xf numFmtId="3" fontId="45" fillId="36" borderId="17" xfId="0" applyNumberFormat="1" applyFont="1" applyFill="1" applyBorder="1" applyAlignment="1">
      <alignment horizontal="right"/>
    </xf>
    <xf numFmtId="4" fontId="11" fillId="36" borderId="17" xfId="0" applyNumberFormat="1" applyFont="1" applyFill="1" applyBorder="1" applyAlignment="1">
      <alignment horizontal="right"/>
    </xf>
    <xf numFmtId="3" fontId="11" fillId="36" borderId="17" xfId="0" applyNumberFormat="1" applyFont="1" applyFill="1" applyBorder="1" applyAlignment="1">
      <alignment horizontal="right"/>
    </xf>
    <xf numFmtId="0" fontId="180" fillId="7" borderId="17" xfId="0" applyFont="1" applyFill="1" applyBorder="1" applyAlignment="1" applyProtection="1">
      <alignment vertical="center"/>
      <protection locked="0"/>
    </xf>
    <xf numFmtId="4" fontId="45" fillId="0" borderId="17" xfId="0" applyNumberFormat="1" applyFont="1" applyBorder="1" applyAlignment="1">
      <alignment vertical="center"/>
    </xf>
    <xf numFmtId="3" fontId="45" fillId="0" borderId="17" xfId="0" applyNumberFormat="1" applyFont="1" applyBorder="1" applyAlignment="1">
      <alignment vertical="center"/>
    </xf>
    <xf numFmtId="1" fontId="11" fillId="0" borderId="17" xfId="0" applyNumberFormat="1" applyFont="1" applyFill="1" applyBorder="1" applyAlignment="1">
      <alignment horizontal="right"/>
    </xf>
    <xf numFmtId="4" fontId="45" fillId="36" borderId="17" xfId="0" applyNumberFormat="1" applyFont="1" applyFill="1" applyBorder="1" applyAlignment="1">
      <alignment horizontal="right" wrapText="1"/>
    </xf>
    <xf numFmtId="4" fontId="11" fillId="36" borderId="17" xfId="0" applyNumberFormat="1" applyFont="1" applyFill="1" applyBorder="1" applyAlignment="1">
      <alignment horizontal="right" wrapText="1"/>
    </xf>
    <xf numFmtId="0" fontId="11" fillId="49" borderId="17" xfId="0" applyFont="1" applyFill="1" applyBorder="1" applyAlignment="1">
      <alignment vertical="center"/>
    </xf>
    <xf numFmtId="204" fontId="180" fillId="7" borderId="17" xfId="0" applyNumberFormat="1" applyFont="1" applyFill="1" applyBorder="1" applyAlignment="1">
      <alignment vertical="center"/>
    </xf>
    <xf numFmtId="0" fontId="181" fillId="7" borderId="17" xfId="0" applyFont="1" applyFill="1" applyBorder="1" applyAlignment="1">
      <alignment vertical="center"/>
    </xf>
    <xf numFmtId="0" fontId="180" fillId="7" borderId="17" xfId="0" applyNumberFormat="1" applyFont="1" applyFill="1" applyBorder="1" applyAlignment="1" applyProtection="1">
      <alignment vertical="center"/>
      <protection/>
    </xf>
    <xf numFmtId="4" fontId="45" fillId="36" borderId="17" xfId="44" applyNumberFormat="1" applyFont="1" applyFill="1" applyBorder="1" applyAlignment="1" applyProtection="1">
      <alignment horizontal="right" vertical="center"/>
      <protection locked="0"/>
    </xf>
    <xf numFmtId="3" fontId="45" fillId="36" borderId="17" xfId="44" applyNumberFormat="1" applyFont="1" applyFill="1" applyBorder="1" applyAlignment="1" applyProtection="1">
      <alignment horizontal="right" vertical="center"/>
      <protection locked="0"/>
    </xf>
    <xf numFmtId="4" fontId="11" fillId="36" borderId="17" xfId="44" applyNumberFormat="1" applyFont="1" applyFill="1" applyBorder="1" applyAlignment="1" applyProtection="1">
      <alignment horizontal="right" vertical="center"/>
      <protection locked="0"/>
    </xf>
    <xf numFmtId="3" fontId="11" fillId="36" borderId="17" xfId="44" applyNumberFormat="1" applyFont="1" applyFill="1" applyBorder="1" applyAlignment="1" applyProtection="1">
      <alignment horizontal="right" vertical="center"/>
      <protection locked="0"/>
    </xf>
    <xf numFmtId="0" fontId="180" fillId="7" borderId="17" xfId="0" applyFont="1" applyFill="1" applyBorder="1" applyAlignment="1">
      <alignment vertical="center"/>
    </xf>
    <xf numFmtId="4" fontId="45" fillId="36" borderId="17" xfId="0" applyNumberFormat="1" applyFont="1" applyFill="1" applyBorder="1" applyAlignment="1">
      <alignment vertical="center"/>
    </xf>
    <xf numFmtId="3" fontId="45" fillId="36" borderId="17" xfId="0" applyNumberFormat="1" applyFont="1" applyFill="1" applyBorder="1" applyAlignment="1">
      <alignment vertical="center"/>
    </xf>
    <xf numFmtId="4" fontId="45" fillId="36" borderId="17" xfId="43" applyNumberFormat="1" applyFont="1" applyFill="1" applyBorder="1" applyAlignment="1" applyProtection="1">
      <alignment horizontal="right" vertical="center"/>
      <protection/>
    </xf>
    <xf numFmtId="3" fontId="45" fillId="36" borderId="17" xfId="43" applyNumberFormat="1" applyFont="1" applyFill="1" applyBorder="1" applyAlignment="1" applyProtection="1">
      <alignment horizontal="right" vertical="center"/>
      <protection/>
    </xf>
    <xf numFmtId="4" fontId="11" fillId="36" borderId="17" xfId="43" applyNumberFormat="1" applyFont="1" applyFill="1" applyBorder="1" applyAlignment="1" applyProtection="1">
      <alignment horizontal="right" vertical="center"/>
      <protection/>
    </xf>
    <xf numFmtId="3" fontId="11" fillId="36" borderId="17" xfId="0" applyNumberFormat="1" applyFont="1" applyFill="1" applyBorder="1" applyAlignment="1">
      <alignment horizontal="right" vertical="center"/>
    </xf>
    <xf numFmtId="4" fontId="45" fillId="0" borderId="17" xfId="43" applyNumberFormat="1" applyFont="1" applyFill="1" applyBorder="1" applyAlignment="1" applyProtection="1">
      <alignment vertical="center"/>
      <protection/>
    </xf>
    <xf numFmtId="3" fontId="45" fillId="0" borderId="17" xfId="43" applyNumberFormat="1" applyFont="1" applyFill="1" applyBorder="1" applyAlignment="1" applyProtection="1">
      <alignment vertical="center"/>
      <protection/>
    </xf>
    <xf numFmtId="0" fontId="9" fillId="33" borderId="17" xfId="0" applyFont="1" applyFill="1" applyBorder="1" applyAlignment="1" applyProtection="1">
      <alignment horizontal="left" vertical="center"/>
      <protection/>
    </xf>
    <xf numFmtId="0" fontId="33" fillId="0" borderId="0" xfId="0" applyFont="1" applyAlignment="1">
      <alignment horizontal="center" wrapText="1"/>
    </xf>
    <xf numFmtId="0" fontId="33" fillId="0" borderId="0" xfId="0" applyFont="1" applyAlignment="1">
      <alignment horizontal="center"/>
    </xf>
    <xf numFmtId="2" fontId="11" fillId="8" borderId="34" xfId="0" applyNumberFormat="1" applyFont="1" applyFill="1" applyBorder="1" applyAlignment="1" applyProtection="1">
      <alignment vertical="center"/>
      <protection/>
    </xf>
    <xf numFmtId="0" fontId="182" fillId="33" borderId="17" xfId="0" applyNumberFormat="1" applyFont="1" applyFill="1" applyBorder="1" applyAlignment="1" applyProtection="1">
      <alignment horizontal="center" vertical="center"/>
      <protection/>
    </xf>
    <xf numFmtId="0" fontId="71" fillId="36" borderId="17" xfId="0" applyNumberFormat="1" applyFont="1" applyFill="1" applyBorder="1" applyAlignment="1" applyProtection="1">
      <alignment horizontal="center" vertical="center"/>
      <protection/>
    </xf>
    <xf numFmtId="0" fontId="182" fillId="36" borderId="17" xfId="0" applyNumberFormat="1" applyFont="1" applyFill="1" applyBorder="1" applyAlignment="1" applyProtection="1">
      <alignment horizontal="center" vertical="center"/>
      <protection/>
    </xf>
    <xf numFmtId="0" fontId="182" fillId="0" borderId="17" xfId="0" applyNumberFormat="1" applyFont="1" applyFill="1" applyBorder="1" applyAlignment="1" applyProtection="1">
      <alignment horizontal="center" vertical="center"/>
      <protection/>
    </xf>
    <xf numFmtId="0" fontId="182" fillId="43" borderId="17" xfId="0" applyNumberFormat="1" applyFont="1" applyFill="1" applyBorder="1" applyAlignment="1" applyProtection="1">
      <alignment horizontal="center" vertical="center"/>
      <protection/>
    </xf>
    <xf numFmtId="0" fontId="182" fillId="50" borderId="17" xfId="0" applyNumberFormat="1" applyFont="1" applyFill="1" applyBorder="1" applyAlignment="1" applyProtection="1">
      <alignment horizontal="center" vertical="center"/>
      <protection/>
    </xf>
    <xf numFmtId="0" fontId="182" fillId="41" borderId="17" xfId="0" applyNumberFormat="1" applyFont="1" applyFill="1" applyBorder="1" applyAlignment="1" applyProtection="1">
      <alignment horizontal="center" vertical="center"/>
      <protection/>
    </xf>
    <xf numFmtId="0" fontId="71" fillId="0" borderId="17" xfId="0" applyNumberFormat="1" applyFont="1" applyFill="1" applyBorder="1" applyAlignment="1" applyProtection="1">
      <alignment horizontal="center" vertical="center"/>
      <protection/>
    </xf>
    <xf numFmtId="0" fontId="71" fillId="45" borderId="17" xfId="0" applyNumberFormat="1" applyFont="1" applyFill="1" applyBorder="1" applyAlignment="1" applyProtection="1">
      <alignment horizontal="center" vertical="center"/>
      <protection/>
    </xf>
    <xf numFmtId="0" fontId="183" fillId="36" borderId="17" xfId="0" applyFont="1" applyFill="1" applyBorder="1" applyAlignment="1" applyProtection="1">
      <alignment horizontal="center" vertical="center"/>
      <protection/>
    </xf>
    <xf numFmtId="0" fontId="183" fillId="33" borderId="17" xfId="0" applyFont="1" applyFill="1" applyBorder="1" applyAlignment="1" applyProtection="1">
      <alignment horizontal="center" vertical="center"/>
      <protection/>
    </xf>
    <xf numFmtId="0" fontId="11" fillId="36" borderId="17" xfId="0" applyFont="1" applyFill="1" applyBorder="1" applyAlignment="1" applyProtection="1">
      <alignment horizontal="center" vertical="center"/>
      <protection/>
    </xf>
    <xf numFmtId="0" fontId="71" fillId="46" borderId="17" xfId="0" applyNumberFormat="1" applyFont="1" applyFill="1" applyBorder="1" applyAlignment="1" applyProtection="1">
      <alignment horizontal="center" vertical="center"/>
      <protection/>
    </xf>
    <xf numFmtId="0" fontId="71" fillId="44" borderId="17" xfId="0" applyNumberFormat="1"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83" fillId="0" borderId="17" xfId="0" applyFont="1" applyFill="1" applyBorder="1" applyAlignment="1" applyProtection="1">
      <alignment horizontal="center" vertical="center"/>
      <protection/>
    </xf>
    <xf numFmtId="0" fontId="71" fillId="40" borderId="17" xfId="0" applyNumberFormat="1" applyFont="1" applyFill="1" applyBorder="1" applyAlignment="1" applyProtection="1">
      <alignment horizontal="center" vertical="center"/>
      <protection/>
    </xf>
    <xf numFmtId="0" fontId="71" fillId="36" borderId="34" xfId="0" applyNumberFormat="1" applyFont="1" applyFill="1" applyBorder="1" applyAlignment="1" applyProtection="1">
      <alignment horizontal="center" vertical="center"/>
      <protection/>
    </xf>
    <xf numFmtId="4" fontId="11" fillId="0" borderId="17" xfId="42" applyNumberFormat="1" applyFont="1" applyFill="1" applyBorder="1" applyAlignment="1" applyProtection="1">
      <alignment vertical="center"/>
      <protection/>
    </xf>
    <xf numFmtId="1" fontId="11" fillId="33" borderId="17" xfId="0" applyNumberFormat="1" applyFont="1" applyFill="1" applyBorder="1" applyAlignment="1">
      <alignment vertical="center"/>
    </xf>
    <xf numFmtId="49" fontId="105" fillId="34" borderId="35" xfId="0" applyNumberFormat="1" applyFont="1" applyFill="1" applyBorder="1" applyAlignment="1" applyProtection="1">
      <alignment horizontal="right" vertical="center"/>
      <protection/>
    </xf>
    <xf numFmtId="0" fontId="9" fillId="36" borderId="17" xfId="0" applyFont="1" applyFill="1" applyBorder="1" applyAlignment="1" applyProtection="1">
      <alignment horizontal="center" vertical="center"/>
      <protection/>
    </xf>
    <xf numFmtId="204" fontId="182" fillId="36" borderId="17" xfId="0" applyNumberFormat="1" applyFont="1" applyFill="1" applyBorder="1" applyAlignment="1" applyProtection="1">
      <alignment horizontal="center" vertical="center"/>
      <protection/>
    </xf>
    <xf numFmtId="4" fontId="45" fillId="0" borderId="17" xfId="42" applyNumberFormat="1" applyFont="1" applyFill="1" applyBorder="1" applyAlignment="1" applyProtection="1">
      <alignment vertical="center"/>
      <protection/>
    </xf>
    <xf numFmtId="3" fontId="45" fillId="0" borderId="17" xfId="42" applyNumberFormat="1" applyFont="1" applyFill="1" applyBorder="1" applyAlignment="1" applyProtection="1">
      <alignment vertical="center"/>
      <protection/>
    </xf>
    <xf numFmtId="4" fontId="45" fillId="0" borderId="17" xfId="42" applyNumberFormat="1" applyFont="1" applyFill="1" applyBorder="1" applyAlignment="1" applyProtection="1">
      <alignment vertical="center"/>
      <protection locked="0"/>
    </xf>
    <xf numFmtId="3" fontId="45" fillId="0" borderId="17" xfId="42" applyNumberFormat="1" applyFont="1" applyFill="1" applyBorder="1" applyAlignment="1" applyProtection="1">
      <alignment vertical="center"/>
      <protection locked="0"/>
    </xf>
    <xf numFmtId="4" fontId="184" fillId="0" borderId="36" xfId="0" applyNumberFormat="1" applyFont="1" applyFill="1" applyBorder="1" applyAlignment="1">
      <alignment vertical="center"/>
    </xf>
    <xf numFmtId="3" fontId="184" fillId="0" borderId="36" xfId="0" applyNumberFormat="1" applyFont="1" applyFill="1" applyBorder="1" applyAlignment="1">
      <alignment vertical="center"/>
    </xf>
    <xf numFmtId="4" fontId="184" fillId="0" borderId="17" xfId="42" applyNumberFormat="1" applyFont="1" applyFill="1" applyBorder="1" applyAlignment="1" applyProtection="1">
      <alignment vertical="center"/>
      <protection locked="0"/>
    </xf>
    <xf numFmtId="3" fontId="184" fillId="0" borderId="17" xfId="42" applyNumberFormat="1" applyFont="1" applyFill="1" applyBorder="1" applyAlignment="1" applyProtection="1">
      <alignment vertical="center"/>
      <protection locked="0"/>
    </xf>
    <xf numFmtId="4" fontId="184" fillId="0" borderId="17" xfId="0" applyNumberFormat="1" applyFont="1" applyFill="1" applyBorder="1" applyAlignment="1">
      <alignment vertical="center"/>
    </xf>
    <xf numFmtId="3" fontId="184" fillId="0" borderId="17" xfId="0" applyNumberFormat="1" applyFont="1" applyFill="1" applyBorder="1" applyAlignment="1">
      <alignment vertical="center"/>
    </xf>
    <xf numFmtId="4" fontId="184" fillId="0" borderId="17" xfId="42" applyNumberFormat="1" applyFont="1" applyFill="1" applyBorder="1" applyAlignment="1" applyProtection="1">
      <alignment vertical="center"/>
      <protection/>
    </xf>
    <xf numFmtId="3" fontId="184" fillId="0" borderId="17" xfId="42" applyNumberFormat="1" applyFont="1" applyFill="1" applyBorder="1" applyAlignment="1" applyProtection="1">
      <alignment vertical="center"/>
      <protection/>
    </xf>
    <xf numFmtId="4" fontId="184" fillId="0" borderId="17" xfId="43" applyNumberFormat="1" applyFont="1" applyFill="1" applyBorder="1" applyAlignment="1" applyProtection="1">
      <alignment vertical="center"/>
      <protection locked="0"/>
    </xf>
    <xf numFmtId="3" fontId="184" fillId="0" borderId="17" xfId="43" applyNumberFormat="1" applyFont="1" applyFill="1" applyBorder="1" applyAlignment="1" applyProtection="1">
      <alignment vertical="center"/>
      <protection locked="0"/>
    </xf>
    <xf numFmtId="4" fontId="184" fillId="0" borderId="17" xfId="53" applyNumberFormat="1" applyFont="1" applyFill="1" applyBorder="1" applyAlignment="1" applyProtection="1">
      <alignment vertical="center"/>
      <protection/>
    </xf>
    <xf numFmtId="3" fontId="184" fillId="0" borderId="17" xfId="53" applyNumberFormat="1" applyFont="1" applyFill="1" applyBorder="1" applyAlignment="1" applyProtection="1">
      <alignment vertical="center"/>
      <protection/>
    </xf>
    <xf numFmtId="0" fontId="0" fillId="0" borderId="17" xfId="0" applyBorder="1" applyAlignment="1">
      <alignment/>
    </xf>
    <xf numFmtId="0" fontId="179" fillId="0" borderId="11" xfId="0" applyFont="1" applyBorder="1" applyAlignment="1">
      <alignment horizontal="center"/>
    </xf>
    <xf numFmtId="0" fontId="43" fillId="0" borderId="0" xfId="0" applyFont="1" applyFill="1" applyAlignment="1">
      <alignment/>
    </xf>
    <xf numFmtId="0" fontId="67" fillId="0" borderId="0" xfId="0" applyFont="1" applyFill="1" applyAlignment="1" applyProtection="1">
      <alignment horizontal="left" vertical="center"/>
      <protection locked="0"/>
    </xf>
    <xf numFmtId="0" fontId="43" fillId="38" borderId="0" xfId="0" applyFont="1" applyFill="1" applyBorder="1" applyAlignment="1">
      <alignment/>
    </xf>
    <xf numFmtId="0" fontId="67" fillId="38" borderId="0" xfId="0" applyFont="1" applyFill="1" applyBorder="1" applyAlignment="1">
      <alignment horizontal="left"/>
    </xf>
    <xf numFmtId="0" fontId="17" fillId="35" borderId="37" xfId="0" applyFont="1" applyFill="1" applyBorder="1" applyAlignment="1" applyProtection="1">
      <alignment vertical="center"/>
      <protection/>
    </xf>
    <xf numFmtId="4" fontId="11" fillId="0" borderId="17" xfId="42" applyNumberFormat="1" applyFont="1" applyFill="1" applyBorder="1" applyAlignment="1" applyProtection="1">
      <alignment horizontal="right" vertical="center"/>
      <protection locked="0"/>
    </xf>
    <xf numFmtId="3" fontId="11" fillId="0" borderId="17" xfId="42" applyNumberFormat="1" applyFont="1" applyFill="1" applyBorder="1" applyAlignment="1" applyProtection="1">
      <alignment horizontal="right" vertical="center"/>
      <protection locked="0"/>
    </xf>
    <xf numFmtId="0" fontId="169" fillId="7" borderId="17" xfId="0" applyFont="1" applyFill="1" applyBorder="1" applyAlignment="1">
      <alignment vertical="center"/>
    </xf>
    <xf numFmtId="190" fontId="11" fillId="0" borderId="17" xfId="0" applyNumberFormat="1" applyFont="1" applyFill="1" applyBorder="1" applyAlignment="1" applyProtection="1">
      <alignment horizontal="right" vertical="center"/>
      <protection/>
    </xf>
    <xf numFmtId="0" fontId="185" fillId="47" borderId="30" xfId="0" applyFont="1" applyFill="1" applyBorder="1" applyAlignment="1">
      <alignment horizontal="right"/>
    </xf>
    <xf numFmtId="190" fontId="185" fillId="47" borderId="30" xfId="0" applyNumberFormat="1" applyFont="1" applyFill="1" applyBorder="1" applyAlignment="1">
      <alignment horizontal="right"/>
    </xf>
    <xf numFmtId="49" fontId="185" fillId="47" borderId="30" xfId="0" applyNumberFormat="1" applyFont="1" applyFill="1" applyBorder="1" applyAlignment="1">
      <alignment horizontal="right"/>
    </xf>
    <xf numFmtId="4" fontId="185" fillId="47" borderId="30" xfId="0" applyNumberFormat="1" applyFont="1" applyFill="1" applyBorder="1" applyAlignment="1">
      <alignment horizontal="right"/>
    </xf>
    <xf numFmtId="3" fontId="185" fillId="47" borderId="30" xfId="0" applyNumberFormat="1" applyFont="1" applyFill="1" applyBorder="1" applyAlignment="1">
      <alignment horizontal="right"/>
    </xf>
    <xf numFmtId="0" fontId="185" fillId="47" borderId="30" xfId="0" applyFont="1" applyFill="1" applyBorder="1" applyAlignment="1">
      <alignment horizontal="center"/>
    </xf>
    <xf numFmtId="0" fontId="186" fillId="0" borderId="10" xfId="0" applyFont="1" applyBorder="1" applyAlignment="1">
      <alignment horizontal="center"/>
    </xf>
    <xf numFmtId="0" fontId="186" fillId="16" borderId="30" xfId="0" applyFont="1" applyFill="1" applyBorder="1" applyAlignment="1">
      <alignment horizontal="center"/>
    </xf>
    <xf numFmtId="0" fontId="186" fillId="0" borderId="30" xfId="0" applyFont="1" applyBorder="1" applyAlignment="1">
      <alignment horizontal="center"/>
    </xf>
    <xf numFmtId="0" fontId="174" fillId="36" borderId="11" xfId="0" applyFont="1" applyFill="1" applyBorder="1" applyAlignment="1">
      <alignment/>
    </xf>
    <xf numFmtId="0" fontId="0" fillId="33" borderId="0" xfId="0" applyFont="1" applyFill="1" applyBorder="1" applyAlignment="1" applyProtection="1">
      <alignment vertical="center"/>
      <protection/>
    </xf>
    <xf numFmtId="0" fontId="17" fillId="35" borderId="11" xfId="0" applyFont="1" applyFill="1" applyBorder="1" applyAlignment="1" applyProtection="1">
      <alignment vertical="center"/>
      <protection/>
    </xf>
    <xf numFmtId="0" fontId="4" fillId="49" borderId="0" xfId="0" applyFont="1" applyFill="1" applyBorder="1" applyAlignment="1" applyProtection="1">
      <alignment vertical="center"/>
      <protection locked="0"/>
    </xf>
    <xf numFmtId="3" fontId="11" fillId="0" borderId="17" xfId="40" applyNumberFormat="1" applyFont="1" applyFill="1" applyBorder="1" applyAlignment="1" applyProtection="1">
      <alignment vertical="center"/>
      <protection locked="0"/>
    </xf>
    <xf numFmtId="185" fontId="11" fillId="0" borderId="17" xfId="43" applyNumberFormat="1" applyFont="1" applyFill="1" applyBorder="1" applyAlignment="1" applyProtection="1">
      <alignment vertical="center"/>
      <protection locked="0"/>
    </xf>
    <xf numFmtId="4" fontId="11" fillId="0" borderId="17" xfId="40" applyNumberFormat="1" applyFont="1" applyFill="1" applyBorder="1" applyAlignment="1" applyProtection="1">
      <alignment vertical="center"/>
      <protection locked="0"/>
    </xf>
    <xf numFmtId="4" fontId="181" fillId="0" borderId="17" xfId="0" applyNumberFormat="1" applyFont="1" applyFill="1" applyBorder="1" applyAlignment="1">
      <alignment vertical="center"/>
    </xf>
    <xf numFmtId="3" fontId="181" fillId="0" borderId="17" xfId="0" applyNumberFormat="1" applyFont="1" applyFill="1" applyBorder="1" applyAlignment="1">
      <alignment vertical="center"/>
    </xf>
    <xf numFmtId="0" fontId="11" fillId="7" borderId="34" xfId="0" applyNumberFormat="1" applyFont="1" applyFill="1" applyBorder="1" applyAlignment="1" applyProtection="1">
      <alignment vertical="center"/>
      <protection locked="0"/>
    </xf>
    <xf numFmtId="0" fontId="15" fillId="34" borderId="38" xfId="0" applyFont="1" applyFill="1" applyBorder="1" applyAlignment="1" applyProtection="1">
      <alignment horizontal="center" vertical="center" wrapText="1"/>
      <protection/>
    </xf>
    <xf numFmtId="0" fontId="15" fillId="34" borderId="39" xfId="0" applyFont="1" applyFill="1" applyBorder="1" applyAlignment="1" applyProtection="1">
      <alignment horizontal="center" vertical="center" wrapText="1"/>
      <protection/>
    </xf>
    <xf numFmtId="0" fontId="15" fillId="35" borderId="40" xfId="0" applyFont="1" applyFill="1" applyBorder="1" applyAlignment="1" applyProtection="1">
      <alignment horizontal="center" vertical="center" wrapText="1"/>
      <protection/>
    </xf>
    <xf numFmtId="4" fontId="178" fillId="0" borderId="17" xfId="0" applyNumberFormat="1" applyFont="1" applyFill="1" applyBorder="1" applyAlignment="1">
      <alignment vertical="center"/>
    </xf>
    <xf numFmtId="3" fontId="178" fillId="0" borderId="17" xfId="0" applyNumberFormat="1" applyFont="1" applyFill="1" applyBorder="1" applyAlignment="1">
      <alignment vertical="center"/>
    </xf>
    <xf numFmtId="0" fontId="187" fillId="7" borderId="17" xfId="0" applyFont="1" applyFill="1" applyBorder="1" applyAlignment="1">
      <alignment vertical="center"/>
    </xf>
    <xf numFmtId="0" fontId="91" fillId="51" borderId="0" xfId="0" applyFont="1" applyFill="1" applyAlignment="1">
      <alignment horizontal="right"/>
    </xf>
    <xf numFmtId="190" fontId="91" fillId="51" borderId="0" xfId="0" applyNumberFormat="1" applyFont="1" applyFill="1" applyAlignment="1">
      <alignment horizontal="right"/>
    </xf>
    <xf numFmtId="49" fontId="91" fillId="51" borderId="0" xfId="0" applyNumberFormat="1" applyFont="1" applyFill="1" applyAlignment="1">
      <alignment horizontal="right"/>
    </xf>
    <xf numFmtId="4" fontId="91" fillId="51" borderId="0" xfId="0" applyNumberFormat="1" applyFont="1" applyFill="1" applyAlignment="1">
      <alignment horizontal="right"/>
    </xf>
    <xf numFmtId="3" fontId="91" fillId="51" borderId="0" xfId="0" applyNumberFormat="1" applyFont="1" applyFill="1" applyAlignment="1">
      <alignment horizontal="right"/>
    </xf>
    <xf numFmtId="0" fontId="91" fillId="51" borderId="0" xfId="0" applyFont="1" applyFill="1" applyAlignment="1">
      <alignment horizontal="center"/>
    </xf>
    <xf numFmtId="49" fontId="0" fillId="51" borderId="0" xfId="0" applyNumberFormat="1" applyFill="1" applyAlignment="1">
      <alignment horizontal="right"/>
    </xf>
    <xf numFmtId="0" fontId="91" fillId="52" borderId="30" xfId="0" applyFont="1" applyFill="1" applyBorder="1" applyAlignment="1">
      <alignment horizontal="right"/>
    </xf>
    <xf numFmtId="190" fontId="91" fillId="52" borderId="30" xfId="0" applyNumberFormat="1" applyFont="1" applyFill="1" applyBorder="1" applyAlignment="1">
      <alignment horizontal="right"/>
    </xf>
    <xf numFmtId="49" fontId="91" fillId="52" borderId="30" xfId="0" applyNumberFormat="1" applyFont="1" applyFill="1" applyBorder="1" applyAlignment="1">
      <alignment horizontal="right"/>
    </xf>
    <xf numFmtId="4" fontId="91" fillId="52" borderId="30" xfId="0" applyNumberFormat="1" applyFont="1" applyFill="1" applyBorder="1" applyAlignment="1">
      <alignment horizontal="right"/>
    </xf>
    <xf numFmtId="3" fontId="91" fillId="52" borderId="30" xfId="0" applyNumberFormat="1" applyFont="1" applyFill="1" applyBorder="1" applyAlignment="1">
      <alignment horizontal="right"/>
    </xf>
    <xf numFmtId="0" fontId="91" fillId="52" borderId="30" xfId="0" applyFont="1" applyFill="1" applyBorder="1" applyAlignment="1">
      <alignment horizontal="center"/>
    </xf>
    <xf numFmtId="0" fontId="174" fillId="0" borderId="0" xfId="0" applyFont="1" applyFill="1" applyAlignment="1">
      <alignment/>
    </xf>
    <xf numFmtId="0" fontId="173" fillId="0" borderId="0" xfId="0" applyFont="1" applyFill="1" applyAlignment="1">
      <alignment horizontal="left"/>
    </xf>
    <xf numFmtId="0" fontId="176" fillId="0" borderId="0" xfId="0" applyFont="1" applyFill="1" applyAlignment="1">
      <alignment/>
    </xf>
    <xf numFmtId="0" fontId="11" fillId="7" borderId="41" xfId="0" applyNumberFormat="1" applyFont="1" applyFill="1" applyBorder="1" applyAlignment="1" applyProtection="1">
      <alignment vertical="center"/>
      <protection/>
    </xf>
    <xf numFmtId="0" fontId="71" fillId="36" borderId="17" xfId="0" applyNumberFormat="1" applyFont="1" applyFill="1" applyBorder="1" applyAlignment="1" applyProtection="1">
      <alignment vertical="center"/>
      <protection/>
    </xf>
    <xf numFmtId="0" fontId="182" fillId="36" borderId="17" xfId="0" applyNumberFormat="1" applyFont="1" applyFill="1" applyBorder="1" applyAlignment="1" applyProtection="1">
      <alignment vertical="center"/>
      <protection/>
    </xf>
    <xf numFmtId="0" fontId="71" fillId="44" borderId="17" xfId="0" applyNumberFormat="1" applyFont="1" applyFill="1" applyBorder="1" applyAlignment="1" applyProtection="1">
      <alignment vertical="center"/>
      <protection/>
    </xf>
    <xf numFmtId="0" fontId="71" fillId="46" borderId="17" xfId="0" applyNumberFormat="1" applyFont="1" applyFill="1" applyBorder="1" applyAlignment="1" applyProtection="1">
      <alignment vertical="center"/>
      <protection/>
    </xf>
    <xf numFmtId="0" fontId="182" fillId="43" borderId="17" xfId="0" applyNumberFormat="1" applyFont="1" applyFill="1" applyBorder="1" applyAlignment="1" applyProtection="1">
      <alignment vertical="center"/>
      <protection/>
    </xf>
    <xf numFmtId="0" fontId="182" fillId="50" borderId="17" xfId="0" applyNumberFormat="1" applyFont="1" applyFill="1" applyBorder="1" applyAlignment="1" applyProtection="1">
      <alignment vertical="center"/>
      <protection/>
    </xf>
    <xf numFmtId="0" fontId="71" fillId="0" borderId="17" xfId="0" applyNumberFormat="1" applyFont="1" applyFill="1" applyBorder="1" applyAlignment="1" applyProtection="1">
      <alignment vertical="center"/>
      <protection/>
    </xf>
    <xf numFmtId="0" fontId="11" fillId="0" borderId="17" xfId="0" applyFont="1" applyFill="1" applyBorder="1" applyAlignment="1">
      <alignment vertical="center" shrinkToFit="1"/>
    </xf>
    <xf numFmtId="0" fontId="9" fillId="36" borderId="17" xfId="0" applyFont="1" applyFill="1" applyBorder="1" applyAlignment="1" applyProtection="1">
      <alignment vertical="center"/>
      <protection/>
    </xf>
    <xf numFmtId="0" fontId="11" fillId="7" borderId="17" xfId="0" applyFont="1" applyFill="1" applyBorder="1" applyAlignment="1">
      <alignment vertical="center" shrinkToFit="1"/>
    </xf>
    <xf numFmtId="0" fontId="11" fillId="36" borderId="17" xfId="0" applyFont="1" applyFill="1" applyBorder="1" applyAlignment="1" applyProtection="1">
      <alignment vertical="center"/>
      <protection/>
    </xf>
    <xf numFmtId="4" fontId="11" fillId="0" borderId="17" xfId="0" applyNumberFormat="1" applyFont="1" applyFill="1" applyBorder="1" applyAlignment="1">
      <alignment vertical="center" wrapText="1"/>
    </xf>
    <xf numFmtId="4" fontId="181" fillId="0" borderId="17" xfId="0" applyNumberFormat="1" applyFont="1" applyFill="1" applyBorder="1" applyAlignment="1">
      <alignment vertical="center" shrinkToFit="1"/>
    </xf>
    <xf numFmtId="3" fontId="181" fillId="0" borderId="17" xfId="0" applyNumberFormat="1" applyFont="1" applyFill="1" applyBorder="1" applyAlignment="1">
      <alignment vertical="center" shrinkToFit="1"/>
    </xf>
    <xf numFmtId="190" fontId="11" fillId="0" borderId="34" xfId="0" applyNumberFormat="1" applyFont="1" applyFill="1" applyBorder="1" applyAlignment="1" applyProtection="1">
      <alignment horizontal="center" vertical="center"/>
      <protection/>
    </xf>
    <xf numFmtId="0" fontId="0" fillId="0" borderId="0" xfId="0" applyFont="1" applyAlignment="1">
      <alignment/>
    </xf>
    <xf numFmtId="0" fontId="188" fillId="0" borderId="17" xfId="0" applyFont="1" applyBorder="1" applyAlignment="1">
      <alignment horizontal="center"/>
    </xf>
    <xf numFmtId="0" fontId="181" fillId="0" borderId="0" xfId="0" applyFont="1" applyAlignment="1">
      <alignment horizontal="center"/>
    </xf>
    <xf numFmtId="0" fontId="110" fillId="0" borderId="17" xfId="0" applyFont="1" applyBorder="1" applyAlignment="1">
      <alignment horizontal="center"/>
    </xf>
    <xf numFmtId="0" fontId="188" fillId="0" borderId="20" xfId="0" applyFont="1" applyBorder="1" applyAlignment="1">
      <alignment horizontal="center"/>
    </xf>
    <xf numFmtId="0" fontId="188" fillId="0" borderId="42" xfId="0" applyFont="1" applyBorder="1" applyAlignment="1">
      <alignment horizontal="center"/>
    </xf>
    <xf numFmtId="0" fontId="110" fillId="0" borderId="20" xfId="0" applyFont="1" applyBorder="1" applyAlignment="1">
      <alignment horizontal="center"/>
    </xf>
    <xf numFmtId="4" fontId="45" fillId="0" borderId="17" xfId="0" applyNumberFormat="1" applyFont="1" applyFill="1" applyBorder="1" applyAlignment="1">
      <alignment vertical="center" wrapText="1"/>
    </xf>
    <xf numFmtId="188" fontId="45" fillId="0" borderId="17" xfId="43" applyNumberFormat="1" applyFont="1" applyFill="1" applyBorder="1" applyAlignment="1" applyProtection="1">
      <alignment vertical="center"/>
      <protection locked="0"/>
    </xf>
    <xf numFmtId="4" fontId="178" fillId="0" borderId="17" xfId="0" applyNumberFormat="1" applyFont="1" applyFill="1" applyBorder="1" applyAlignment="1">
      <alignment vertical="center" shrinkToFit="1"/>
    </xf>
    <xf numFmtId="3" fontId="178" fillId="0" borderId="17" xfId="0" applyNumberFormat="1" applyFont="1" applyFill="1" applyBorder="1" applyAlignment="1">
      <alignment vertical="center" shrinkToFit="1"/>
    </xf>
    <xf numFmtId="0" fontId="73" fillId="0" borderId="0" xfId="0" applyFont="1" applyAlignment="1">
      <alignment/>
    </xf>
    <xf numFmtId="0" fontId="25" fillId="18" borderId="30" xfId="0" applyFont="1" applyFill="1" applyBorder="1" applyAlignment="1">
      <alignment horizontal="center"/>
    </xf>
    <xf numFmtId="190" fontId="25" fillId="18" borderId="30" xfId="0" applyNumberFormat="1" applyFont="1" applyFill="1" applyBorder="1" applyAlignment="1">
      <alignment horizontal="center"/>
    </xf>
    <xf numFmtId="49" fontId="25" fillId="18" borderId="30" xfId="0" applyNumberFormat="1" applyFont="1" applyFill="1" applyBorder="1" applyAlignment="1">
      <alignment horizontal="center"/>
    </xf>
    <xf numFmtId="4" fontId="25" fillId="18" borderId="30" xfId="0" applyNumberFormat="1" applyFont="1" applyFill="1" applyBorder="1" applyAlignment="1">
      <alignment horizontal="center"/>
    </xf>
    <xf numFmtId="3" fontId="25" fillId="18" borderId="30" xfId="0" applyNumberFormat="1" applyFont="1" applyFill="1" applyBorder="1" applyAlignment="1">
      <alignment horizontal="center"/>
    </xf>
    <xf numFmtId="0" fontId="25" fillId="18" borderId="12" xfId="0" applyFont="1" applyFill="1" applyBorder="1" applyAlignment="1">
      <alignment horizontal="center"/>
    </xf>
    <xf numFmtId="190" fontId="25" fillId="18" borderId="12" xfId="0" applyNumberFormat="1" applyFont="1" applyFill="1" applyBorder="1" applyAlignment="1">
      <alignment horizontal="center"/>
    </xf>
    <xf numFmtId="49" fontId="25" fillId="18" borderId="12" xfId="0" applyNumberFormat="1" applyFont="1" applyFill="1" applyBorder="1" applyAlignment="1">
      <alignment horizontal="center"/>
    </xf>
    <xf numFmtId="4" fontId="25" fillId="18" borderId="12" xfId="0" applyNumberFormat="1" applyFont="1" applyFill="1" applyBorder="1" applyAlignment="1">
      <alignment horizontal="center"/>
    </xf>
    <xf numFmtId="3" fontId="25" fillId="18" borderId="12" xfId="0" applyNumberFormat="1" applyFont="1" applyFill="1" applyBorder="1" applyAlignment="1">
      <alignment horizontal="center"/>
    </xf>
    <xf numFmtId="0" fontId="71" fillId="36" borderId="0" xfId="0" applyNumberFormat="1" applyFont="1" applyFill="1" applyBorder="1" applyAlignment="1" applyProtection="1">
      <alignment horizontal="center" vertical="center"/>
      <protection/>
    </xf>
    <xf numFmtId="4" fontId="11" fillId="0" borderId="17" xfId="53" applyNumberFormat="1" applyFont="1" applyFill="1" applyBorder="1" applyAlignment="1" applyProtection="1">
      <alignment vertical="center"/>
      <protection/>
    </xf>
    <xf numFmtId="3" fontId="11" fillId="0" borderId="17" xfId="53" applyNumberFormat="1" applyFont="1" applyFill="1" applyBorder="1" applyAlignment="1" applyProtection="1">
      <alignment vertical="center"/>
      <protection/>
    </xf>
    <xf numFmtId="0" fontId="15" fillId="34" borderId="24" xfId="0" applyFont="1" applyFill="1" applyBorder="1" applyAlignment="1" applyProtection="1">
      <alignment horizontal="center"/>
      <protection/>
    </xf>
    <xf numFmtId="0" fontId="15" fillId="19" borderId="24" xfId="0" applyFont="1" applyFill="1" applyBorder="1" applyAlignment="1" applyProtection="1">
      <alignment horizontal="center"/>
      <protection/>
    </xf>
    <xf numFmtId="4" fontId="15" fillId="19" borderId="24" xfId="0" applyNumberFormat="1" applyFont="1" applyFill="1" applyBorder="1" applyAlignment="1" applyProtection="1">
      <alignment horizontal="center" vertical="center" wrapText="1"/>
      <protection/>
    </xf>
    <xf numFmtId="3" fontId="15" fillId="19" borderId="24" xfId="0" applyNumberFormat="1" applyFont="1" applyFill="1" applyBorder="1" applyAlignment="1" applyProtection="1">
      <alignment horizontal="center" vertical="center" wrapText="1"/>
      <protection/>
    </xf>
    <xf numFmtId="4" fontId="15" fillId="35" borderId="24" xfId="0" applyNumberFormat="1" applyFont="1" applyFill="1" applyBorder="1" applyAlignment="1" applyProtection="1">
      <alignment horizontal="center" vertical="center" wrapText="1"/>
      <protection/>
    </xf>
    <xf numFmtId="3" fontId="15" fillId="35" borderId="24" xfId="0" applyNumberFormat="1" applyFont="1" applyFill="1" applyBorder="1" applyAlignment="1" applyProtection="1">
      <alignment horizontal="center" vertical="center" wrapText="1"/>
      <protection/>
    </xf>
    <xf numFmtId="192" fontId="15" fillId="35" borderId="24" xfId="0" applyNumberFormat="1" applyFont="1" applyFill="1" applyBorder="1" applyAlignment="1" applyProtection="1">
      <alignment horizontal="center" vertical="center" wrapText="1"/>
      <protection/>
    </xf>
    <xf numFmtId="4" fontId="20" fillId="44" borderId="24" xfId="0" applyNumberFormat="1" applyFont="1" applyFill="1" applyBorder="1" applyAlignment="1" applyProtection="1">
      <alignment horizontal="center" vertical="center" wrapText="1"/>
      <protection/>
    </xf>
    <xf numFmtId="3" fontId="20" fillId="44" borderId="24" xfId="0" applyNumberFormat="1" applyFont="1" applyFill="1" applyBorder="1" applyAlignment="1" applyProtection="1">
      <alignment horizontal="center" vertical="center" wrapText="1"/>
      <protection/>
    </xf>
    <xf numFmtId="4" fontId="15" fillId="44" borderId="24" xfId="0" applyNumberFormat="1" applyFont="1" applyFill="1" applyBorder="1" applyAlignment="1" applyProtection="1">
      <alignment horizontal="center" vertical="center" wrapText="1"/>
      <protection/>
    </xf>
    <xf numFmtId="4" fontId="15" fillId="13" borderId="43" xfId="0" applyNumberFormat="1" applyFont="1" applyFill="1" applyBorder="1" applyAlignment="1" applyProtection="1">
      <alignment horizontal="center" vertical="center" wrapText="1"/>
      <protection/>
    </xf>
    <xf numFmtId="0" fontId="15" fillId="34" borderId="44" xfId="0" applyFont="1" applyFill="1" applyBorder="1" applyAlignment="1" applyProtection="1">
      <alignment horizontal="center"/>
      <protection/>
    </xf>
    <xf numFmtId="190" fontId="11" fillId="7" borderId="17" xfId="0" applyNumberFormat="1" applyFont="1" applyFill="1" applyBorder="1" applyAlignment="1" applyProtection="1">
      <alignment vertical="center"/>
      <protection locked="0"/>
    </xf>
    <xf numFmtId="190" fontId="11" fillId="7" borderId="17" xfId="0" applyNumberFormat="1" applyFont="1" applyFill="1" applyBorder="1" applyAlignment="1" applyProtection="1">
      <alignment vertical="center"/>
      <protection/>
    </xf>
    <xf numFmtId="0" fontId="11" fillId="36" borderId="17" xfId="0" applyFont="1" applyFill="1" applyBorder="1" applyAlignment="1">
      <alignment vertical="center"/>
    </xf>
    <xf numFmtId="0" fontId="182" fillId="36" borderId="17" xfId="0" applyFont="1" applyFill="1" applyBorder="1" applyAlignment="1" applyProtection="1">
      <alignment horizontal="center" vertical="center"/>
      <protection/>
    </xf>
    <xf numFmtId="0" fontId="189" fillId="36" borderId="17" xfId="0" applyFont="1" applyFill="1" applyBorder="1" applyAlignment="1" applyProtection="1">
      <alignment horizontal="center" vertical="center"/>
      <protection/>
    </xf>
    <xf numFmtId="4" fontId="11" fillId="36" borderId="17" xfId="43" applyNumberFormat="1" applyFont="1" applyFill="1" applyBorder="1" applyAlignment="1" applyProtection="1">
      <alignment vertical="center"/>
      <protection locked="0"/>
    </xf>
    <xf numFmtId="3" fontId="11" fillId="36" borderId="17" xfId="43" applyNumberFormat="1" applyFont="1" applyFill="1" applyBorder="1" applyAlignment="1" applyProtection="1">
      <alignment vertical="center"/>
      <protection locked="0"/>
    </xf>
    <xf numFmtId="4" fontId="45" fillId="36" borderId="17" xfId="43" applyNumberFormat="1" applyFont="1" applyFill="1" applyBorder="1" applyAlignment="1" applyProtection="1">
      <alignment vertical="center"/>
      <protection locked="0"/>
    </xf>
    <xf numFmtId="3" fontId="45" fillId="36" borderId="17" xfId="43" applyNumberFormat="1" applyFont="1" applyFill="1" applyBorder="1" applyAlignment="1" applyProtection="1">
      <alignment vertical="center"/>
      <protection locked="0"/>
    </xf>
    <xf numFmtId="0" fontId="182" fillId="50" borderId="34" xfId="0" applyNumberFormat="1" applyFont="1" applyFill="1" applyBorder="1" applyAlignment="1" applyProtection="1">
      <alignment horizontal="center" vertical="center"/>
      <protection/>
    </xf>
    <xf numFmtId="0" fontId="11" fillId="7" borderId="41" xfId="0" applyFont="1" applyFill="1" applyBorder="1" applyAlignment="1">
      <alignment vertical="center"/>
    </xf>
    <xf numFmtId="0" fontId="11" fillId="7" borderId="41" xfId="0" applyFont="1" applyFill="1" applyBorder="1" applyAlignment="1" applyProtection="1">
      <alignment vertical="center"/>
      <protection locked="0"/>
    </xf>
    <xf numFmtId="1" fontId="11" fillId="7" borderId="41" xfId="0" applyNumberFormat="1" applyFont="1" applyFill="1" applyBorder="1" applyAlignment="1">
      <alignment vertical="center"/>
    </xf>
    <xf numFmtId="43" fontId="15" fillId="34" borderId="24" xfId="40" applyFont="1" applyFill="1" applyBorder="1" applyAlignment="1" applyProtection="1">
      <alignment horizontal="center"/>
      <protection/>
    </xf>
    <xf numFmtId="190" fontId="15" fillId="34" borderId="24" xfId="0" applyNumberFormat="1" applyFont="1" applyFill="1" applyBorder="1" applyAlignment="1" applyProtection="1">
      <alignment horizontal="center"/>
      <protection/>
    </xf>
    <xf numFmtId="0" fontId="67" fillId="0" borderId="0" xfId="0" applyFont="1" applyFill="1" applyAlignment="1">
      <alignment horizontal="left"/>
    </xf>
    <xf numFmtId="4" fontId="11" fillId="33" borderId="17" xfId="0" applyNumberFormat="1" applyFont="1" applyFill="1" applyBorder="1" applyAlignment="1">
      <alignment vertical="center"/>
    </xf>
    <xf numFmtId="0" fontId="190" fillId="0" borderId="17" xfId="0" applyFont="1" applyFill="1" applyBorder="1" applyAlignment="1" applyProtection="1">
      <alignment horizontal="center" vertical="center"/>
      <protection/>
    </xf>
    <xf numFmtId="190" fontId="11" fillId="7" borderId="34" xfId="0" applyNumberFormat="1" applyFont="1" applyFill="1" applyBorder="1" applyAlignment="1" applyProtection="1">
      <alignment horizontal="center" vertical="center"/>
      <protection locked="0"/>
    </xf>
    <xf numFmtId="4" fontId="11" fillId="0" borderId="34" xfId="43" applyNumberFormat="1" applyFont="1" applyFill="1" applyBorder="1" applyAlignment="1" applyProtection="1">
      <alignment vertical="center"/>
      <protection locked="0"/>
    </xf>
    <xf numFmtId="0" fontId="180" fillId="53" borderId="36" xfId="0" applyFont="1" applyFill="1" applyBorder="1" applyAlignment="1">
      <alignment vertical="center"/>
    </xf>
    <xf numFmtId="0" fontId="11" fillId="53" borderId="36" xfId="0" applyFont="1" applyFill="1" applyBorder="1" applyAlignment="1" applyProtection="1">
      <alignment vertical="center"/>
      <protection/>
    </xf>
    <xf numFmtId="0" fontId="11" fillId="53" borderId="36" xfId="0" applyNumberFormat="1" applyFont="1" applyFill="1" applyBorder="1" applyAlignment="1" applyProtection="1">
      <alignment vertical="center"/>
      <protection locked="0"/>
    </xf>
    <xf numFmtId="0" fontId="45" fillId="53" borderId="17" xfId="0" applyNumberFormat="1" applyFont="1" applyFill="1" applyBorder="1" applyAlignment="1" applyProtection="1">
      <alignment vertical="center"/>
      <protection locked="0"/>
    </xf>
    <xf numFmtId="0" fontId="11" fillId="53" borderId="17" xfId="0" applyFont="1" applyFill="1" applyBorder="1" applyAlignment="1">
      <alignment vertical="center"/>
    </xf>
    <xf numFmtId="0" fontId="11" fillId="53" borderId="17" xfId="0" applyNumberFormat="1" applyFont="1" applyFill="1" applyBorder="1" applyAlignment="1" applyProtection="1">
      <alignment vertical="center"/>
      <protection locked="0"/>
    </xf>
    <xf numFmtId="0" fontId="45" fillId="53" borderId="17" xfId="0" applyFont="1" applyFill="1" applyBorder="1" applyAlignment="1" applyProtection="1">
      <alignment vertical="center"/>
      <protection locked="0"/>
    </xf>
    <xf numFmtId="0" fontId="11" fillId="53" borderId="17" xfId="0" applyFont="1" applyFill="1" applyBorder="1" applyAlignment="1" applyProtection="1">
      <alignment vertical="center"/>
      <protection/>
    </xf>
    <xf numFmtId="0" fontId="71" fillId="40" borderId="34" xfId="0" applyNumberFormat="1" applyFont="1" applyFill="1" applyBorder="1" applyAlignment="1" applyProtection="1">
      <alignment horizontal="center" vertical="center"/>
      <protection/>
    </xf>
    <xf numFmtId="4" fontId="45" fillId="0" borderId="34" xfId="43" applyNumberFormat="1" applyFont="1" applyFill="1" applyBorder="1" applyAlignment="1" applyProtection="1">
      <alignment vertical="center"/>
      <protection locked="0"/>
    </xf>
    <xf numFmtId="3" fontId="45" fillId="0" borderId="34" xfId="43" applyNumberFormat="1" applyFont="1" applyFill="1" applyBorder="1" applyAlignment="1" applyProtection="1">
      <alignment vertical="center"/>
      <protection locked="0"/>
    </xf>
    <xf numFmtId="3" fontId="11" fillId="0" borderId="34" xfId="43" applyNumberFormat="1" applyFont="1" applyFill="1" applyBorder="1" applyAlignment="1" applyProtection="1">
      <alignment vertical="center"/>
      <protection locked="0"/>
    </xf>
    <xf numFmtId="0" fontId="71" fillId="36" borderId="34" xfId="0" applyNumberFormat="1" applyFont="1" applyFill="1" applyBorder="1" applyAlignment="1" applyProtection="1">
      <alignment horizontal="center" vertical="center"/>
      <protection/>
    </xf>
    <xf numFmtId="0" fontId="182" fillId="36" borderId="34" xfId="0" applyNumberFormat="1" applyFont="1" applyFill="1" applyBorder="1" applyAlignment="1" applyProtection="1">
      <alignment horizontal="center" vertical="center"/>
      <protection/>
    </xf>
    <xf numFmtId="0" fontId="182" fillId="50" borderId="34" xfId="0" applyNumberFormat="1" applyFont="1" applyFill="1" applyBorder="1" applyAlignment="1" applyProtection="1">
      <alignment horizontal="center" vertical="center"/>
      <protection/>
    </xf>
    <xf numFmtId="0" fontId="71" fillId="36" borderId="17" xfId="0" applyNumberFormat="1" applyFont="1" applyFill="1" applyBorder="1" applyAlignment="1" applyProtection="1">
      <alignment horizontal="center" vertical="center"/>
      <protection/>
    </xf>
    <xf numFmtId="0" fontId="182" fillId="41" borderId="17" xfId="0" applyNumberFormat="1" applyFont="1" applyFill="1" applyBorder="1" applyAlignment="1" applyProtection="1">
      <alignment horizontal="center" vertical="center"/>
      <protection/>
    </xf>
    <xf numFmtId="0" fontId="182" fillId="50" borderId="17" xfId="0" applyNumberFormat="1" applyFont="1" applyFill="1" applyBorder="1" applyAlignment="1" applyProtection="1">
      <alignment horizontal="center" vertical="center"/>
      <protection/>
    </xf>
    <xf numFmtId="0" fontId="71" fillId="44" borderId="17" xfId="0" applyNumberFormat="1" applyFont="1" applyFill="1" applyBorder="1" applyAlignment="1" applyProtection="1">
      <alignment horizontal="center" vertical="center"/>
      <protection/>
    </xf>
    <xf numFmtId="0" fontId="71" fillId="46" borderId="17" xfId="0" applyNumberFormat="1" applyFont="1" applyFill="1" applyBorder="1" applyAlignment="1" applyProtection="1">
      <alignment horizontal="center" vertical="center"/>
      <protection/>
    </xf>
    <xf numFmtId="0" fontId="182" fillId="0" borderId="17" xfId="0" applyNumberFormat="1" applyFont="1" applyFill="1" applyBorder="1" applyAlignment="1" applyProtection="1">
      <alignment horizontal="center" vertical="center"/>
      <protection/>
    </xf>
    <xf numFmtId="0" fontId="182" fillId="36" borderId="17" xfId="0" applyNumberFormat="1" applyFont="1" applyFill="1" applyBorder="1" applyAlignment="1" applyProtection="1">
      <alignment horizontal="center" vertical="center"/>
      <protection/>
    </xf>
    <xf numFmtId="0" fontId="71" fillId="0" borderId="17" xfId="0" applyNumberFormat="1" applyFont="1" applyFill="1" applyBorder="1" applyAlignment="1" applyProtection="1">
      <alignment horizontal="center" vertical="center"/>
      <protection/>
    </xf>
    <xf numFmtId="0" fontId="182" fillId="33" borderId="17" xfId="0" applyNumberFormat="1" applyFont="1" applyFill="1" applyBorder="1" applyAlignment="1" applyProtection="1">
      <alignment horizontal="center" vertical="center"/>
      <protection/>
    </xf>
    <xf numFmtId="204" fontId="182" fillId="36" borderId="17" xfId="0" applyNumberFormat="1" applyFont="1" applyFill="1" applyBorder="1" applyAlignment="1" applyProtection="1">
      <alignment horizontal="center" vertical="center"/>
      <protection/>
    </xf>
    <xf numFmtId="0" fontId="182" fillId="36" borderId="17" xfId="0" applyFont="1" applyFill="1" applyBorder="1" applyAlignment="1" applyProtection="1">
      <alignment horizontal="center" vertical="center"/>
      <protection/>
    </xf>
    <xf numFmtId="0" fontId="45" fillId="7" borderId="17" xfId="0" applyFont="1" applyFill="1" applyBorder="1" applyAlignment="1">
      <alignment vertical="center"/>
    </xf>
    <xf numFmtId="0" fontId="71" fillId="45" borderId="17" xfId="0" applyNumberFormat="1" applyFont="1" applyFill="1" applyBorder="1" applyAlignment="1" applyProtection="1">
      <alignment horizontal="center" vertical="center"/>
      <protection/>
    </xf>
    <xf numFmtId="0" fontId="33" fillId="7" borderId="34" xfId="0" applyFont="1" applyFill="1" applyBorder="1" applyAlignment="1" applyProtection="1">
      <alignment vertical="center"/>
      <protection locked="0"/>
    </xf>
    <xf numFmtId="0" fontId="71" fillId="7" borderId="34" xfId="0" applyNumberFormat="1" applyFont="1" applyFill="1" applyBorder="1" applyAlignment="1" applyProtection="1">
      <alignment vertical="center"/>
      <protection/>
    </xf>
    <xf numFmtId="190" fontId="71" fillId="7" borderId="34" xfId="0" applyNumberFormat="1" applyFont="1" applyFill="1" applyBorder="1" applyAlignment="1" applyProtection="1">
      <alignment horizontal="center" vertical="center"/>
      <protection locked="0"/>
    </xf>
    <xf numFmtId="0" fontId="71" fillId="7" borderId="34" xfId="0" applyFont="1" applyFill="1" applyBorder="1" applyAlignment="1" applyProtection="1">
      <alignment vertical="center"/>
      <protection locked="0"/>
    </xf>
    <xf numFmtId="0" fontId="71" fillId="0" borderId="34" xfId="0" applyFont="1" applyFill="1" applyBorder="1" applyAlignment="1">
      <alignment vertical="center"/>
    </xf>
    <xf numFmtId="4" fontId="33" fillId="0" borderId="34" xfId="0" applyNumberFormat="1" applyFont="1" applyBorder="1" applyAlignment="1">
      <alignment vertical="center"/>
    </xf>
    <xf numFmtId="3" fontId="33" fillId="0" borderId="34" xfId="0" applyNumberFormat="1" applyFont="1" applyBorder="1" applyAlignment="1">
      <alignment vertical="center"/>
    </xf>
    <xf numFmtId="4" fontId="71" fillId="0" borderId="34" xfId="0" applyNumberFormat="1" applyFont="1" applyBorder="1" applyAlignment="1">
      <alignment vertical="center"/>
    </xf>
    <xf numFmtId="3" fontId="71" fillId="0" borderId="34" xfId="0" applyNumberFormat="1" applyFont="1" applyBorder="1" applyAlignment="1">
      <alignment vertical="center"/>
    </xf>
    <xf numFmtId="190" fontId="71" fillId="0" borderId="34" xfId="0" applyNumberFormat="1" applyFont="1" applyFill="1" applyBorder="1" applyAlignment="1" applyProtection="1">
      <alignment horizontal="center" vertical="center"/>
      <protection/>
    </xf>
    <xf numFmtId="204" fontId="33" fillId="7" borderId="17" xfId="0" applyNumberFormat="1" applyFont="1" applyFill="1" applyBorder="1" applyAlignment="1">
      <alignment vertical="center"/>
    </xf>
    <xf numFmtId="0" fontId="71" fillId="7" borderId="17" xfId="0" applyFont="1" applyFill="1" applyBorder="1" applyAlignment="1">
      <alignment vertical="center"/>
    </xf>
    <xf numFmtId="0" fontId="71" fillId="7" borderId="17" xfId="0" applyFont="1" applyFill="1" applyBorder="1" applyAlignment="1" applyProtection="1">
      <alignment vertical="center"/>
      <protection/>
    </xf>
    <xf numFmtId="204" fontId="71" fillId="7" borderId="17" xfId="0" applyNumberFormat="1" applyFont="1" applyFill="1" applyBorder="1" applyAlignment="1">
      <alignment vertical="center"/>
    </xf>
    <xf numFmtId="190" fontId="71" fillId="7" borderId="17" xfId="0" applyNumberFormat="1" applyFont="1" applyFill="1" applyBorder="1" applyAlignment="1" applyProtection="1">
      <alignment vertical="center"/>
      <protection locked="0"/>
    </xf>
    <xf numFmtId="0" fontId="71" fillId="7" borderId="17" xfId="0" applyNumberFormat="1" applyFont="1" applyFill="1" applyBorder="1" applyAlignment="1" applyProtection="1">
      <alignment vertical="center"/>
      <protection/>
    </xf>
    <xf numFmtId="0" fontId="71" fillId="0" borderId="17" xfId="0" applyFont="1" applyFill="1" applyBorder="1" applyAlignment="1">
      <alignment vertical="center"/>
    </xf>
    <xf numFmtId="4" fontId="33" fillId="36" borderId="17" xfId="43" applyNumberFormat="1" applyFont="1" applyFill="1" applyBorder="1" applyAlignment="1" applyProtection="1">
      <alignment vertical="center"/>
      <protection locked="0"/>
    </xf>
    <xf numFmtId="3" fontId="33" fillId="36" borderId="17" xfId="43" applyNumberFormat="1" applyFont="1" applyFill="1" applyBorder="1" applyAlignment="1" applyProtection="1">
      <alignment vertical="center"/>
      <protection locked="0"/>
    </xf>
    <xf numFmtId="4" fontId="71" fillId="36" borderId="17" xfId="43" applyNumberFormat="1" applyFont="1" applyFill="1" applyBorder="1" applyAlignment="1" applyProtection="1">
      <alignment vertical="center"/>
      <protection locked="0"/>
    </xf>
    <xf numFmtId="3" fontId="71" fillId="36" borderId="17" xfId="43" applyNumberFormat="1" applyFont="1" applyFill="1" applyBorder="1" applyAlignment="1" applyProtection="1">
      <alignment vertical="center"/>
      <protection locked="0"/>
    </xf>
    <xf numFmtId="190" fontId="71" fillId="0" borderId="17" xfId="0" applyNumberFormat="1" applyFont="1" applyFill="1" applyBorder="1" applyAlignment="1" applyProtection="1">
      <alignment horizontal="center" vertical="center"/>
      <protection/>
    </xf>
    <xf numFmtId="0" fontId="33" fillId="0" borderId="17" xfId="0" applyNumberFormat="1" applyFont="1" applyFill="1" applyBorder="1" applyAlignment="1" applyProtection="1">
      <alignment horizontal="center" vertical="center"/>
      <protection/>
    </xf>
    <xf numFmtId="0" fontId="177" fillId="0" borderId="17" xfId="0" applyNumberFormat="1" applyFont="1" applyFill="1" applyBorder="1" applyAlignment="1" applyProtection="1">
      <alignment horizontal="center" vertical="center"/>
      <protection/>
    </xf>
    <xf numFmtId="204" fontId="179" fillId="7" borderId="17" xfId="0" applyNumberFormat="1" applyFont="1" applyFill="1" applyBorder="1" applyAlignment="1">
      <alignment vertical="center"/>
    </xf>
    <xf numFmtId="190" fontId="71" fillId="7" borderId="17" xfId="0" applyNumberFormat="1" applyFont="1" applyFill="1" applyBorder="1" applyAlignment="1" applyProtection="1">
      <alignment horizontal="center" vertical="center"/>
      <protection locked="0"/>
    </xf>
    <xf numFmtId="4" fontId="33" fillId="0" borderId="17" xfId="43" applyNumberFormat="1" applyFont="1" applyFill="1" applyBorder="1" applyAlignment="1" applyProtection="1">
      <alignment vertical="center"/>
      <protection locked="0"/>
    </xf>
    <xf numFmtId="3" fontId="33" fillId="0" borderId="17" xfId="43" applyNumberFormat="1" applyFont="1" applyFill="1" applyBorder="1" applyAlignment="1" applyProtection="1">
      <alignment vertical="center"/>
      <protection locked="0"/>
    </xf>
    <xf numFmtId="4" fontId="71" fillId="0" borderId="17" xfId="43" applyNumberFormat="1" applyFont="1" applyFill="1" applyBorder="1" applyAlignment="1" applyProtection="1">
      <alignment vertical="center"/>
      <protection locked="0"/>
    </xf>
    <xf numFmtId="3" fontId="71" fillId="0" borderId="17" xfId="43" applyNumberFormat="1" applyFont="1" applyFill="1" applyBorder="1" applyAlignment="1" applyProtection="1">
      <alignment vertical="center"/>
      <protection locked="0"/>
    </xf>
    <xf numFmtId="190" fontId="71" fillId="36" borderId="17" xfId="0" applyNumberFormat="1" applyFont="1" applyFill="1" applyBorder="1" applyAlignment="1" applyProtection="1">
      <alignment horizontal="center" vertical="center"/>
      <protection/>
    </xf>
    <xf numFmtId="0" fontId="33" fillId="36" borderId="17" xfId="0" applyNumberFormat="1" applyFont="1" applyFill="1" applyBorder="1" applyAlignment="1" applyProtection="1">
      <alignment horizontal="center" vertical="center"/>
      <protection/>
    </xf>
    <xf numFmtId="0" fontId="177" fillId="36" borderId="17" xfId="0" applyNumberFormat="1" applyFont="1" applyFill="1" applyBorder="1" applyAlignment="1" applyProtection="1">
      <alignment horizontal="center" vertical="center"/>
      <protection/>
    </xf>
    <xf numFmtId="0" fontId="71" fillId="36" borderId="17" xfId="0" applyNumberFormat="1" applyFont="1" applyFill="1" applyBorder="1" applyAlignment="1" applyProtection="1">
      <alignment vertical="center"/>
      <protection/>
    </xf>
    <xf numFmtId="0" fontId="182" fillId="36" borderId="17" xfId="0" applyNumberFormat="1" applyFont="1" applyFill="1" applyBorder="1" applyAlignment="1" applyProtection="1">
      <alignment vertical="center"/>
      <protection/>
    </xf>
    <xf numFmtId="0" fontId="182" fillId="0" borderId="17" xfId="0" applyNumberFormat="1" applyFont="1" applyFill="1" applyBorder="1" applyAlignment="1" applyProtection="1">
      <alignment vertical="center"/>
      <protection/>
    </xf>
    <xf numFmtId="0" fontId="71" fillId="0" borderId="17" xfId="0" applyFont="1" applyFill="1" applyBorder="1" applyAlignment="1">
      <alignment vertical="center" shrinkToFit="1"/>
    </xf>
    <xf numFmtId="0" fontId="71" fillId="7" borderId="17" xfId="0" applyFont="1" applyFill="1" applyBorder="1" applyAlignment="1">
      <alignment horizontal="right" vertical="center"/>
    </xf>
    <xf numFmtId="0" fontId="71" fillId="0" borderId="17" xfId="0" applyFont="1" applyFill="1" applyBorder="1" applyAlignment="1">
      <alignment horizontal="right" vertical="center" shrinkToFit="1"/>
    </xf>
    <xf numFmtId="4" fontId="33" fillId="36" borderId="17" xfId="43" applyNumberFormat="1" applyFont="1" applyFill="1" applyBorder="1" applyAlignment="1" applyProtection="1">
      <alignment horizontal="right" vertical="center"/>
      <protection locked="0"/>
    </xf>
    <xf numFmtId="3" fontId="33" fillId="36" borderId="17" xfId="43" applyNumberFormat="1" applyFont="1" applyFill="1" applyBorder="1" applyAlignment="1" applyProtection="1">
      <alignment horizontal="right" vertical="center"/>
      <protection locked="0"/>
    </xf>
    <xf numFmtId="4" fontId="71" fillId="36" borderId="17" xfId="43" applyNumberFormat="1" applyFont="1" applyFill="1" applyBorder="1" applyAlignment="1" applyProtection="1">
      <alignment horizontal="right" vertical="center"/>
      <protection locked="0"/>
    </xf>
    <xf numFmtId="3" fontId="71" fillId="36" borderId="17" xfId="43" applyNumberFormat="1" applyFont="1" applyFill="1" applyBorder="1" applyAlignment="1" applyProtection="1">
      <alignment horizontal="right" vertical="center"/>
      <protection locked="0"/>
    </xf>
    <xf numFmtId="0" fontId="177" fillId="33" borderId="17" xfId="0" applyNumberFormat="1" applyFont="1" applyFill="1" applyBorder="1" applyAlignment="1" applyProtection="1">
      <alignment horizontal="center" vertical="center"/>
      <protection/>
    </xf>
    <xf numFmtId="0" fontId="179" fillId="7" borderId="17" xfId="0" applyNumberFormat="1" applyFont="1" applyFill="1" applyBorder="1" applyAlignment="1">
      <alignment vertical="center"/>
    </xf>
    <xf numFmtId="0" fontId="71" fillId="7" borderId="17" xfId="0" applyNumberFormat="1" applyFont="1" applyFill="1" applyBorder="1" applyAlignment="1">
      <alignment vertical="center"/>
    </xf>
    <xf numFmtId="4" fontId="33" fillId="33" borderId="17" xfId="0" applyNumberFormat="1" applyFont="1" applyFill="1" applyBorder="1" applyAlignment="1">
      <alignment vertical="center"/>
    </xf>
    <xf numFmtId="3" fontId="33" fillId="33" borderId="17" xfId="0" applyNumberFormat="1" applyFont="1" applyFill="1" applyBorder="1" applyAlignment="1">
      <alignment vertical="center"/>
    </xf>
    <xf numFmtId="4" fontId="71" fillId="33" borderId="17" xfId="0" applyNumberFormat="1" applyFont="1" applyFill="1" applyBorder="1" applyAlignment="1">
      <alignment vertical="center"/>
    </xf>
    <xf numFmtId="3" fontId="71" fillId="36" borderId="17" xfId="0" applyNumberFormat="1" applyFont="1" applyFill="1" applyBorder="1" applyAlignment="1">
      <alignment vertical="center"/>
    </xf>
    <xf numFmtId="0" fontId="71" fillId="0" borderId="17" xfId="0" applyFont="1" applyFill="1" applyBorder="1" applyAlignment="1">
      <alignment horizontal="right" vertical="center"/>
    </xf>
    <xf numFmtId="4" fontId="33" fillId="36" borderId="17" xfId="0" applyNumberFormat="1" applyFont="1" applyFill="1" applyBorder="1" applyAlignment="1">
      <alignment horizontal="right"/>
    </xf>
    <xf numFmtId="3" fontId="33" fillId="36" borderId="17" xfId="0" applyNumberFormat="1" applyFont="1" applyFill="1" applyBorder="1" applyAlignment="1">
      <alignment horizontal="right"/>
    </xf>
    <xf numFmtId="4" fontId="71" fillId="36" borderId="17" xfId="0" applyNumberFormat="1" applyFont="1" applyFill="1" applyBorder="1" applyAlignment="1">
      <alignment horizontal="right"/>
    </xf>
    <xf numFmtId="3" fontId="71" fillId="36" borderId="17" xfId="0" applyNumberFormat="1" applyFont="1" applyFill="1" applyBorder="1" applyAlignment="1">
      <alignment horizontal="right"/>
    </xf>
    <xf numFmtId="4" fontId="33" fillId="0" borderId="17" xfId="0" applyNumberFormat="1" applyFont="1" applyFill="1" applyBorder="1" applyAlignment="1">
      <alignment vertical="center"/>
    </xf>
    <xf numFmtId="3" fontId="33" fillId="0" borderId="17" xfId="0" applyNumberFormat="1" applyFont="1" applyFill="1" applyBorder="1" applyAlignment="1">
      <alignment vertical="center"/>
    </xf>
    <xf numFmtId="0" fontId="33" fillId="0" borderId="17" xfId="0" applyFont="1" applyFill="1" applyBorder="1" applyAlignment="1" applyProtection="1">
      <alignment horizontal="center" vertical="center"/>
      <protection/>
    </xf>
    <xf numFmtId="0" fontId="177" fillId="41" borderId="17" xfId="0" applyNumberFormat="1" applyFont="1" applyFill="1" applyBorder="1" applyAlignment="1" applyProtection="1">
      <alignment horizontal="center" vertical="center"/>
      <protection/>
    </xf>
    <xf numFmtId="0" fontId="177" fillId="50" borderId="17" xfId="0" applyNumberFormat="1" applyFont="1" applyFill="1" applyBorder="1" applyAlignment="1" applyProtection="1">
      <alignment horizontal="center" vertical="center"/>
      <protection/>
    </xf>
    <xf numFmtId="0" fontId="179" fillId="7" borderId="17" xfId="0" applyFont="1" applyFill="1" applyBorder="1" applyAlignment="1" applyProtection="1">
      <alignment vertical="center"/>
      <protection locked="0"/>
    </xf>
    <xf numFmtId="0" fontId="71" fillId="7" borderId="17" xfId="0" applyFont="1" applyFill="1" applyBorder="1" applyAlignment="1" applyProtection="1">
      <alignment vertical="center"/>
      <protection locked="0"/>
    </xf>
    <xf numFmtId="0" fontId="71" fillId="7" borderId="17" xfId="0" applyNumberFormat="1" applyFont="1" applyFill="1" applyBorder="1" applyAlignment="1" applyProtection="1">
      <alignment vertical="center"/>
      <protection locked="0"/>
    </xf>
    <xf numFmtId="1" fontId="71" fillId="0" borderId="17" xfId="0" applyNumberFormat="1" applyFont="1" applyFill="1" applyBorder="1" applyAlignment="1">
      <alignment vertical="center"/>
    </xf>
    <xf numFmtId="4" fontId="33" fillId="0" borderId="17" xfId="0" applyNumberFormat="1" applyFont="1" applyBorder="1" applyAlignment="1">
      <alignment vertical="center"/>
    </xf>
    <xf numFmtId="3" fontId="33" fillId="0" borderId="17" xfId="0" applyNumberFormat="1" applyFont="1" applyBorder="1" applyAlignment="1">
      <alignment vertical="center"/>
    </xf>
    <xf numFmtId="4" fontId="71" fillId="0" borderId="17" xfId="0" applyNumberFormat="1" applyFont="1" applyBorder="1" applyAlignment="1">
      <alignment vertical="center"/>
    </xf>
    <xf numFmtId="3" fontId="71" fillId="0" borderId="17" xfId="0" applyNumberFormat="1" applyFont="1" applyBorder="1" applyAlignment="1">
      <alignment vertical="center"/>
    </xf>
    <xf numFmtId="0" fontId="33" fillId="36" borderId="17" xfId="0" applyFont="1" applyFill="1" applyBorder="1" applyAlignment="1" applyProtection="1">
      <alignment horizontal="center" vertical="center"/>
      <protection/>
    </xf>
    <xf numFmtId="0" fontId="71" fillId="7" borderId="17" xfId="0" applyNumberFormat="1" applyFont="1" applyFill="1" applyBorder="1" applyAlignment="1" applyProtection="1">
      <alignment horizontal="right" vertical="center"/>
      <protection locked="0"/>
    </xf>
    <xf numFmtId="1" fontId="71" fillId="0" borderId="17" xfId="0" applyNumberFormat="1" applyFont="1" applyFill="1" applyBorder="1" applyAlignment="1">
      <alignment horizontal="right"/>
    </xf>
    <xf numFmtId="4" fontId="33" fillId="36" borderId="17" xfId="0" applyNumberFormat="1" applyFont="1" applyFill="1" applyBorder="1" applyAlignment="1">
      <alignment horizontal="right" wrapText="1"/>
    </xf>
    <xf numFmtId="4" fontId="71" fillId="36" borderId="17" xfId="0" applyNumberFormat="1" applyFont="1" applyFill="1" applyBorder="1" applyAlignment="1">
      <alignment horizontal="right" wrapText="1"/>
    </xf>
    <xf numFmtId="1" fontId="71" fillId="33" borderId="17" xfId="0" applyNumberFormat="1" applyFont="1" applyFill="1" applyBorder="1" applyAlignment="1">
      <alignment vertical="center"/>
    </xf>
    <xf numFmtId="4" fontId="71" fillId="0" borderId="17" xfId="0" applyNumberFormat="1" applyFont="1" applyFill="1" applyBorder="1" applyAlignment="1">
      <alignment vertical="center"/>
    </xf>
    <xf numFmtId="3" fontId="71" fillId="0" borderId="17" xfId="0" applyNumberFormat="1" applyFont="1" applyFill="1" applyBorder="1" applyAlignment="1">
      <alignment vertical="center"/>
    </xf>
    <xf numFmtId="0" fontId="71" fillId="36" borderId="17" xfId="0" applyFont="1" applyFill="1" applyBorder="1" applyAlignment="1" applyProtection="1">
      <alignment horizontal="center" vertical="center"/>
      <protection/>
    </xf>
    <xf numFmtId="0" fontId="33" fillId="7" borderId="17" xfId="0" applyFont="1" applyFill="1" applyBorder="1" applyAlignment="1" applyProtection="1">
      <alignment vertical="center"/>
      <protection locked="0"/>
    </xf>
    <xf numFmtId="4" fontId="33" fillId="36" borderId="17" xfId="0" applyNumberFormat="1" applyFont="1" applyFill="1" applyBorder="1" applyAlignment="1">
      <alignment vertical="center"/>
    </xf>
    <xf numFmtId="3" fontId="33" fillId="36" borderId="17" xfId="0" applyNumberFormat="1" applyFont="1" applyFill="1" applyBorder="1" applyAlignment="1">
      <alignment vertical="center"/>
    </xf>
    <xf numFmtId="4" fontId="71" fillId="36" borderId="17" xfId="0" applyNumberFormat="1" applyFont="1" applyFill="1" applyBorder="1" applyAlignment="1">
      <alignment vertical="center"/>
    </xf>
    <xf numFmtId="0" fontId="71" fillId="49" borderId="17" xfId="0" applyFont="1" applyFill="1" applyBorder="1" applyAlignment="1">
      <alignment vertical="center"/>
    </xf>
    <xf numFmtId="0" fontId="71" fillId="33" borderId="17" xfId="0" applyFont="1" applyFill="1" applyBorder="1" applyAlignment="1" applyProtection="1">
      <alignment horizontal="left" vertical="center"/>
      <protection/>
    </xf>
    <xf numFmtId="0" fontId="71" fillId="44" borderId="17" xfId="0" applyNumberFormat="1" applyFont="1" applyFill="1" applyBorder="1" applyAlignment="1" applyProtection="1">
      <alignment vertical="center"/>
      <protection/>
    </xf>
    <xf numFmtId="0" fontId="71" fillId="40" borderId="17" xfId="0" applyNumberFormat="1" applyFont="1" applyFill="1" applyBorder="1" applyAlignment="1" applyProtection="1">
      <alignment vertical="center"/>
      <protection/>
    </xf>
    <xf numFmtId="0" fontId="71" fillId="46" borderId="17" xfId="0" applyNumberFormat="1" applyFont="1" applyFill="1" applyBorder="1" applyAlignment="1" applyProtection="1">
      <alignment vertical="center"/>
      <protection/>
    </xf>
    <xf numFmtId="0" fontId="182" fillId="41" borderId="17" xfId="0" applyNumberFormat="1" applyFont="1" applyFill="1" applyBorder="1" applyAlignment="1" applyProtection="1">
      <alignment vertical="center"/>
      <protection/>
    </xf>
    <xf numFmtId="0" fontId="177" fillId="36" borderId="17" xfId="0" applyFont="1" applyFill="1" applyBorder="1" applyAlignment="1" applyProtection="1">
      <alignment horizontal="center" vertical="center"/>
      <protection/>
    </xf>
    <xf numFmtId="0" fontId="179" fillId="7" borderId="17" xfId="0" applyNumberFormat="1" applyFont="1" applyFill="1" applyBorder="1" applyAlignment="1" applyProtection="1">
      <alignment vertical="center"/>
      <protection locked="0"/>
    </xf>
    <xf numFmtId="190" fontId="71" fillId="7" borderId="17" xfId="0" applyNumberFormat="1" applyFont="1" applyFill="1" applyBorder="1" applyAlignment="1" applyProtection="1">
      <alignment horizontal="center" vertical="center"/>
      <protection/>
    </xf>
    <xf numFmtId="1" fontId="71" fillId="7" borderId="17" xfId="0" applyNumberFormat="1" applyFont="1" applyFill="1" applyBorder="1" applyAlignment="1">
      <alignment vertical="center"/>
    </xf>
    <xf numFmtId="0" fontId="177" fillId="0" borderId="17" xfId="0" applyFont="1" applyFill="1" applyBorder="1" applyAlignment="1" applyProtection="1">
      <alignment horizontal="center" vertical="center"/>
      <protection/>
    </xf>
    <xf numFmtId="0" fontId="33" fillId="7" borderId="17" xfId="0" applyFont="1" applyFill="1" applyBorder="1" applyAlignment="1">
      <alignment vertical="center"/>
    </xf>
    <xf numFmtId="0" fontId="33" fillId="0" borderId="17" xfId="0" applyFont="1" applyBorder="1" applyAlignment="1">
      <alignment vertical="center"/>
    </xf>
    <xf numFmtId="0" fontId="182" fillId="50" borderId="17" xfId="0" applyNumberFormat="1" applyFont="1" applyFill="1" applyBorder="1" applyAlignment="1" applyProtection="1">
      <alignment vertical="center"/>
      <protection/>
    </xf>
    <xf numFmtId="0" fontId="179" fillId="7" borderId="17" xfId="0" applyFont="1" applyFill="1" applyBorder="1" applyAlignment="1">
      <alignment vertical="center"/>
    </xf>
    <xf numFmtId="0" fontId="191" fillId="7" borderId="17" xfId="0" applyFont="1" applyFill="1" applyBorder="1" applyAlignment="1">
      <alignment vertical="center"/>
    </xf>
    <xf numFmtId="0" fontId="179" fillId="7" borderId="17" xfId="0" applyNumberFormat="1" applyFont="1" applyFill="1" applyBorder="1" applyAlignment="1" applyProtection="1">
      <alignment vertical="center"/>
      <protection/>
    </xf>
    <xf numFmtId="0" fontId="71" fillId="0" borderId="17" xfId="0" applyFont="1" applyFill="1" applyBorder="1" applyAlignment="1" applyProtection="1">
      <alignment vertical="center"/>
      <protection locked="0"/>
    </xf>
    <xf numFmtId="4" fontId="33" fillId="0" borderId="17" xfId="44" applyNumberFormat="1" applyFont="1" applyFill="1" applyBorder="1" applyAlignment="1" applyProtection="1">
      <alignment vertical="center"/>
      <protection locked="0"/>
    </xf>
    <xf numFmtId="3" fontId="33" fillId="0" borderId="17" xfId="44" applyNumberFormat="1" applyFont="1" applyFill="1" applyBorder="1" applyAlignment="1" applyProtection="1">
      <alignment vertical="center"/>
      <protection locked="0"/>
    </xf>
    <xf numFmtId="4" fontId="71" fillId="0" borderId="17" xfId="44" applyNumberFormat="1" applyFont="1" applyFill="1" applyBorder="1" applyAlignment="1" applyProtection="1">
      <alignment vertical="center"/>
      <protection locked="0"/>
    </xf>
    <xf numFmtId="3" fontId="71" fillId="0" borderId="17" xfId="44" applyNumberFormat="1" applyFont="1" applyFill="1" applyBorder="1" applyAlignment="1" applyProtection="1">
      <alignment vertical="center"/>
      <protection locked="0"/>
    </xf>
    <xf numFmtId="0" fontId="71" fillId="0" borderId="17" xfId="0" applyFont="1" applyFill="1" applyBorder="1" applyAlignment="1" applyProtection="1">
      <alignment horizontal="right" vertical="center"/>
      <protection locked="0"/>
    </xf>
    <xf numFmtId="4" fontId="33" fillId="36" borderId="17" xfId="44" applyNumberFormat="1" applyFont="1" applyFill="1" applyBorder="1" applyAlignment="1" applyProtection="1">
      <alignment horizontal="right" vertical="center"/>
      <protection locked="0"/>
    </xf>
    <xf numFmtId="3" fontId="33" fillId="36" borderId="17" xfId="44" applyNumberFormat="1" applyFont="1" applyFill="1" applyBorder="1" applyAlignment="1" applyProtection="1">
      <alignment horizontal="right" vertical="center"/>
      <protection locked="0"/>
    </xf>
    <xf numFmtId="4" fontId="71" fillId="36" borderId="17" xfId="44" applyNumberFormat="1" applyFont="1" applyFill="1" applyBorder="1" applyAlignment="1" applyProtection="1">
      <alignment horizontal="right" vertical="center"/>
      <protection locked="0"/>
    </xf>
    <xf numFmtId="3" fontId="71" fillId="36" borderId="17" xfId="44" applyNumberFormat="1" applyFont="1" applyFill="1" applyBorder="1" applyAlignment="1" applyProtection="1">
      <alignment horizontal="right" vertical="center"/>
      <protection locked="0"/>
    </xf>
    <xf numFmtId="0" fontId="71" fillId="36" borderId="17" xfId="0" applyFont="1" applyFill="1" applyBorder="1" applyAlignment="1" applyProtection="1">
      <alignment vertical="center"/>
      <protection/>
    </xf>
    <xf numFmtId="4" fontId="71" fillId="0" borderId="17" xfId="40" applyNumberFormat="1" applyFont="1" applyFill="1" applyBorder="1" applyAlignment="1" applyProtection="1">
      <alignment vertical="center"/>
      <protection locked="0"/>
    </xf>
    <xf numFmtId="3" fontId="71" fillId="0" borderId="17" xfId="40" applyNumberFormat="1" applyFont="1" applyFill="1" applyBorder="1" applyAlignment="1" applyProtection="1">
      <alignment vertical="center"/>
      <protection locked="0"/>
    </xf>
    <xf numFmtId="1" fontId="71" fillId="7" borderId="17" xfId="0" applyNumberFormat="1" applyFont="1" applyFill="1" applyBorder="1" applyAlignment="1">
      <alignment horizontal="right"/>
    </xf>
    <xf numFmtId="0" fontId="33" fillId="7" borderId="17" xfId="0" applyNumberFormat="1" applyFont="1" applyFill="1" applyBorder="1" applyAlignment="1">
      <alignment vertical="center"/>
    </xf>
    <xf numFmtId="204" fontId="177" fillId="0" borderId="17" xfId="0" applyNumberFormat="1" applyFont="1" applyFill="1" applyBorder="1" applyAlignment="1" applyProtection="1">
      <alignment horizontal="center" vertical="center"/>
      <protection/>
    </xf>
    <xf numFmtId="204" fontId="177" fillId="36" borderId="17" xfId="0" applyNumberFormat="1" applyFont="1" applyFill="1" applyBorder="1" applyAlignment="1" applyProtection="1">
      <alignment horizontal="center" vertical="center"/>
      <protection/>
    </xf>
    <xf numFmtId="1" fontId="71" fillId="0" borderId="17" xfId="0" applyNumberFormat="1" applyFont="1" applyFill="1" applyBorder="1" applyAlignment="1">
      <alignment horizontal="right" vertical="center"/>
    </xf>
    <xf numFmtId="4" fontId="33" fillId="0" borderId="17" xfId="0" applyNumberFormat="1" applyFont="1" applyFill="1" applyBorder="1" applyAlignment="1">
      <alignment vertical="center" wrapText="1"/>
    </xf>
    <xf numFmtId="4" fontId="71" fillId="0" borderId="17" xfId="0" applyNumberFormat="1" applyFont="1" applyFill="1" applyBorder="1" applyAlignment="1">
      <alignment vertical="center" wrapText="1"/>
    </xf>
    <xf numFmtId="0" fontId="33" fillId="7" borderId="17" xfId="57" applyFont="1" applyFill="1" applyBorder="1" applyAlignment="1">
      <alignment vertical="center"/>
      <protection/>
    </xf>
    <xf numFmtId="0" fontId="71" fillId="7" borderId="17" xfId="57" applyFont="1" applyFill="1" applyBorder="1" applyAlignment="1">
      <alignment vertical="center"/>
      <protection/>
    </xf>
    <xf numFmtId="0" fontId="179" fillId="7" borderId="17" xfId="57" applyFont="1" applyFill="1" applyBorder="1" applyAlignment="1">
      <alignment vertical="center"/>
      <protection/>
    </xf>
    <xf numFmtId="0" fontId="71" fillId="7" borderId="17" xfId="0" applyFont="1" applyFill="1" applyBorder="1" applyAlignment="1" applyProtection="1">
      <alignment horizontal="right" vertical="center"/>
      <protection locked="0"/>
    </xf>
    <xf numFmtId="4" fontId="33" fillId="36" borderId="17" xfId="43" applyNumberFormat="1" applyFont="1" applyFill="1" applyBorder="1" applyAlignment="1" applyProtection="1">
      <alignment horizontal="right" vertical="center"/>
      <protection/>
    </xf>
    <xf numFmtId="3" fontId="33" fillId="36" borderId="17" xfId="43" applyNumberFormat="1" applyFont="1" applyFill="1" applyBorder="1" applyAlignment="1" applyProtection="1">
      <alignment horizontal="right" vertical="center"/>
      <protection/>
    </xf>
    <xf numFmtId="4" fontId="71" fillId="36" borderId="17" xfId="43" applyNumberFormat="1" applyFont="1" applyFill="1" applyBorder="1" applyAlignment="1" applyProtection="1">
      <alignment horizontal="right" vertical="center"/>
      <protection/>
    </xf>
    <xf numFmtId="3" fontId="71" fillId="36" borderId="17" xfId="0" applyNumberFormat="1" applyFont="1" applyFill="1" applyBorder="1" applyAlignment="1">
      <alignment horizontal="right" vertical="center"/>
    </xf>
    <xf numFmtId="4" fontId="33" fillId="0" borderId="17" xfId="43" applyNumberFormat="1" applyFont="1" applyFill="1" applyBorder="1" applyAlignment="1" applyProtection="1">
      <alignment vertical="center"/>
      <protection/>
    </xf>
    <xf numFmtId="3" fontId="33" fillId="0" borderId="17" xfId="43" applyNumberFormat="1" applyFont="1" applyFill="1" applyBorder="1" applyAlignment="1" applyProtection="1">
      <alignment vertical="center"/>
      <protection/>
    </xf>
    <xf numFmtId="4" fontId="71" fillId="0" borderId="17" xfId="43" applyNumberFormat="1" applyFont="1" applyFill="1" applyBorder="1" applyAlignment="1" applyProtection="1">
      <alignment vertical="center"/>
      <protection/>
    </xf>
    <xf numFmtId="4" fontId="33" fillId="0" borderId="17" xfId="40" applyNumberFormat="1" applyFont="1" applyFill="1" applyBorder="1" applyAlignment="1" applyProtection="1">
      <alignment vertical="center"/>
      <protection/>
    </xf>
    <xf numFmtId="3" fontId="33" fillId="0" borderId="17" xfId="40" applyNumberFormat="1" applyFont="1" applyFill="1" applyBorder="1" applyAlignment="1" applyProtection="1">
      <alignment vertical="center"/>
      <protection/>
    </xf>
    <xf numFmtId="4" fontId="71" fillId="0" borderId="17" xfId="40" applyNumberFormat="1" applyFont="1" applyFill="1" applyBorder="1" applyAlignment="1" applyProtection="1">
      <alignment vertical="center"/>
      <protection/>
    </xf>
    <xf numFmtId="204" fontId="177" fillId="33" borderId="17" xfId="0" applyNumberFormat="1" applyFont="1" applyFill="1" applyBorder="1" applyAlignment="1" applyProtection="1">
      <alignment horizontal="center" vertical="center"/>
      <protection/>
    </xf>
    <xf numFmtId="190" fontId="71" fillId="7" borderId="17" xfId="0" applyNumberFormat="1" applyFont="1" applyFill="1" applyBorder="1" applyAlignment="1" applyProtection="1">
      <alignment vertical="center"/>
      <protection/>
    </xf>
    <xf numFmtId="204" fontId="182" fillId="36" borderId="17" xfId="0" applyNumberFormat="1" applyFont="1" applyFill="1" applyBorder="1" applyAlignment="1" applyProtection="1">
      <alignment vertical="center"/>
      <protection/>
    </xf>
    <xf numFmtId="0" fontId="71" fillId="7" borderId="17" xfId="0" applyFont="1" applyFill="1" applyBorder="1" applyAlignment="1">
      <alignment horizontal="right" vertical="center" shrinkToFit="1"/>
    </xf>
    <xf numFmtId="0" fontId="177" fillId="33" borderId="17" xfId="0" applyFont="1" applyFill="1" applyBorder="1" applyAlignment="1" applyProtection="1">
      <alignment horizontal="center" vertical="center"/>
      <protection/>
    </xf>
    <xf numFmtId="0" fontId="182" fillId="36" borderId="17" xfId="0" applyFont="1" applyFill="1" applyBorder="1" applyAlignment="1" applyProtection="1">
      <alignment vertical="center"/>
      <protection/>
    </xf>
    <xf numFmtId="4" fontId="179" fillId="0" borderId="17" xfId="0" applyNumberFormat="1" applyFont="1" applyFill="1" applyBorder="1" applyAlignment="1">
      <alignment vertical="center"/>
    </xf>
    <xf numFmtId="3" fontId="179" fillId="0" borderId="17" xfId="0" applyNumberFormat="1" applyFont="1" applyFill="1" applyBorder="1" applyAlignment="1">
      <alignment vertical="center"/>
    </xf>
    <xf numFmtId="4" fontId="191" fillId="0" borderId="17" xfId="0" applyNumberFormat="1" applyFont="1" applyFill="1" applyBorder="1" applyAlignment="1">
      <alignment vertical="center"/>
    </xf>
    <xf numFmtId="3" fontId="191" fillId="0" borderId="17" xfId="0" applyNumberFormat="1" applyFont="1" applyFill="1" applyBorder="1" applyAlignment="1">
      <alignment vertical="center"/>
    </xf>
    <xf numFmtId="0" fontId="71" fillId="7" borderId="17" xfId="53" applyNumberFormat="1" applyFont="1" applyFill="1" applyBorder="1" applyAlignment="1" applyProtection="1">
      <alignment vertical="center"/>
      <protection locked="0"/>
    </xf>
    <xf numFmtId="0" fontId="71" fillId="0" borderId="17" xfId="0" applyNumberFormat="1" applyFont="1" applyFill="1" applyBorder="1" applyAlignment="1" applyProtection="1">
      <alignment vertical="center"/>
      <protection locked="0"/>
    </xf>
    <xf numFmtId="4" fontId="33" fillId="0" borderId="17" xfId="40" applyNumberFormat="1" applyFont="1" applyFill="1" applyBorder="1" applyAlignment="1" applyProtection="1">
      <alignment vertical="center"/>
      <protection locked="0"/>
    </xf>
    <xf numFmtId="3" fontId="33" fillId="0" borderId="17" xfId="40" applyNumberFormat="1" applyFont="1" applyFill="1" applyBorder="1" applyAlignment="1" applyProtection="1">
      <alignment vertical="center"/>
      <protection locked="0"/>
    </xf>
    <xf numFmtId="0" fontId="71" fillId="45" borderId="17" xfId="0" applyNumberFormat="1" applyFont="1" applyFill="1" applyBorder="1" applyAlignment="1" applyProtection="1">
      <alignment vertical="center"/>
      <protection/>
    </xf>
    <xf numFmtId="4" fontId="71" fillId="0" borderId="17" xfId="43" applyNumberFormat="1" applyFont="1" applyFill="1" applyBorder="1" applyAlignment="1">
      <alignment vertical="center"/>
    </xf>
    <xf numFmtId="3" fontId="71" fillId="0" borderId="17" xfId="43" applyNumberFormat="1" applyFont="1" applyFill="1" applyBorder="1" applyAlignment="1">
      <alignment vertical="center"/>
    </xf>
    <xf numFmtId="0" fontId="33" fillId="7" borderId="17" xfId="0" applyNumberFormat="1" applyFont="1" applyFill="1" applyBorder="1" applyAlignment="1" applyProtection="1">
      <alignment vertical="center"/>
      <protection/>
    </xf>
    <xf numFmtId="0" fontId="71" fillId="0" borderId="17" xfId="0" applyFont="1" applyFill="1" applyBorder="1" applyAlignment="1">
      <alignment horizontal="right"/>
    </xf>
    <xf numFmtId="0" fontId="71" fillId="0" borderId="17" xfId="0" applyNumberFormat="1" applyFont="1" applyFill="1" applyBorder="1" applyAlignment="1" applyProtection="1">
      <alignment horizontal="right" vertical="center"/>
      <protection locked="0"/>
    </xf>
    <xf numFmtId="0" fontId="71" fillId="0" borderId="17" xfId="0" applyNumberFormat="1" applyFont="1" applyFill="1" applyBorder="1" applyAlignment="1" applyProtection="1">
      <alignment vertical="center"/>
      <protection/>
    </xf>
    <xf numFmtId="0" fontId="71" fillId="36" borderId="17" xfId="0" applyFont="1" applyFill="1" applyBorder="1" applyAlignment="1">
      <alignment vertical="center"/>
    </xf>
    <xf numFmtId="190" fontId="71" fillId="7" borderId="17" xfId="0" applyNumberFormat="1" applyFont="1" applyFill="1" applyBorder="1" applyAlignment="1">
      <alignment horizontal="center" vertical="center"/>
    </xf>
    <xf numFmtId="190" fontId="71" fillId="7" borderId="17" xfId="0" applyNumberFormat="1" applyFont="1" applyFill="1" applyBorder="1" applyAlignment="1">
      <alignment vertical="center"/>
    </xf>
    <xf numFmtId="0" fontId="33" fillId="7" borderId="17" xfId="0" applyNumberFormat="1" applyFont="1" applyFill="1" applyBorder="1" applyAlignment="1" applyProtection="1">
      <alignment vertical="center"/>
      <protection locked="0"/>
    </xf>
    <xf numFmtId="188" fontId="33" fillId="0" borderId="17" xfId="43" applyNumberFormat="1" applyFont="1" applyFill="1" applyBorder="1" applyAlignment="1" applyProtection="1">
      <alignment vertical="center"/>
      <protection locked="0"/>
    </xf>
    <xf numFmtId="185" fontId="71" fillId="0" borderId="17" xfId="43" applyNumberFormat="1" applyFont="1" applyFill="1" applyBorder="1" applyAlignment="1" applyProtection="1">
      <alignment vertical="center"/>
      <protection locked="0"/>
    </xf>
    <xf numFmtId="4" fontId="33" fillId="0" borderId="17" xfId="53" applyNumberFormat="1" applyFont="1" applyFill="1" applyBorder="1" applyAlignment="1" applyProtection="1">
      <alignment vertical="center"/>
      <protection/>
    </xf>
    <xf numFmtId="3" fontId="33" fillId="0" borderId="17" xfId="53" applyNumberFormat="1" applyFont="1" applyFill="1" applyBorder="1" applyAlignment="1" applyProtection="1">
      <alignment vertical="center"/>
      <protection/>
    </xf>
    <xf numFmtId="4" fontId="71" fillId="0" borderId="17" xfId="53" applyNumberFormat="1" applyFont="1" applyFill="1" applyBorder="1" applyAlignment="1" applyProtection="1">
      <alignment vertical="center"/>
      <protection/>
    </xf>
    <xf numFmtId="3" fontId="71" fillId="0" borderId="17" xfId="53" applyNumberFormat="1" applyFont="1" applyFill="1" applyBorder="1" applyAlignment="1" applyProtection="1">
      <alignment vertical="center"/>
      <protection/>
    </xf>
    <xf numFmtId="4" fontId="33" fillId="36" borderId="17" xfId="53" applyNumberFormat="1" applyFont="1" applyFill="1" applyBorder="1" applyAlignment="1" applyProtection="1">
      <alignment vertical="center"/>
      <protection/>
    </xf>
    <xf numFmtId="3" fontId="33" fillId="36" borderId="17" xfId="53" applyNumberFormat="1" applyFont="1" applyFill="1" applyBorder="1" applyAlignment="1" applyProtection="1">
      <alignment vertical="center"/>
      <protection/>
    </xf>
    <xf numFmtId="4" fontId="71" fillId="36" borderId="17" xfId="53" applyNumberFormat="1" applyFont="1" applyFill="1" applyBorder="1" applyAlignment="1" applyProtection="1">
      <alignment vertical="center"/>
      <protection/>
    </xf>
    <xf numFmtId="3" fontId="71" fillId="36" borderId="17" xfId="53" applyNumberFormat="1" applyFont="1" applyFill="1" applyBorder="1" applyAlignment="1" applyProtection="1">
      <alignment vertical="center"/>
      <protection/>
    </xf>
    <xf numFmtId="0" fontId="71" fillId="0" borderId="17" xfId="0" applyFont="1" applyBorder="1" applyAlignment="1">
      <alignment vertical="center"/>
    </xf>
    <xf numFmtId="1" fontId="71" fillId="7" borderId="17" xfId="0" applyNumberFormat="1" applyFont="1" applyFill="1" applyBorder="1" applyAlignment="1">
      <alignment horizontal="right" vertical="center"/>
    </xf>
    <xf numFmtId="0" fontId="33" fillId="33" borderId="17" xfId="0" applyFont="1" applyFill="1" applyBorder="1" applyAlignment="1" applyProtection="1">
      <alignment horizontal="left" vertical="center"/>
      <protection/>
    </xf>
    <xf numFmtId="0" fontId="33" fillId="36" borderId="17" xfId="0" applyFont="1" applyFill="1" applyBorder="1" applyAlignment="1" applyProtection="1">
      <alignment horizontal="left" vertical="center"/>
      <protection/>
    </xf>
    <xf numFmtId="0" fontId="71" fillId="7" borderId="17" xfId="0" applyNumberFormat="1" applyFont="1" applyFill="1" applyBorder="1" applyAlignment="1">
      <alignment horizontal="right" vertical="center"/>
    </xf>
    <xf numFmtId="4" fontId="33" fillId="0" borderId="17" xfId="42" applyNumberFormat="1" applyFont="1" applyFill="1" applyBorder="1" applyAlignment="1" applyProtection="1">
      <alignment vertical="center"/>
      <protection locked="0"/>
    </xf>
    <xf numFmtId="3" fontId="33" fillId="0" borderId="17" xfId="42" applyNumberFormat="1" applyFont="1" applyFill="1" applyBorder="1" applyAlignment="1" applyProtection="1">
      <alignment vertical="center"/>
      <protection locked="0"/>
    </xf>
    <xf numFmtId="4" fontId="71" fillId="0" borderId="17" xfId="42" applyNumberFormat="1" applyFont="1" applyFill="1" applyBorder="1" applyAlignment="1" applyProtection="1">
      <alignment vertical="center"/>
      <protection locked="0"/>
    </xf>
    <xf numFmtId="3" fontId="71" fillId="0" borderId="17" xfId="42" applyNumberFormat="1" applyFont="1" applyFill="1" applyBorder="1" applyAlignment="1" applyProtection="1">
      <alignment vertical="center"/>
      <protection locked="0"/>
    </xf>
    <xf numFmtId="0" fontId="182" fillId="33" borderId="17" xfId="0" applyNumberFormat="1" applyFont="1" applyFill="1" applyBorder="1" applyAlignment="1" applyProtection="1">
      <alignment vertical="center"/>
      <protection/>
    </xf>
    <xf numFmtId="4" fontId="179" fillId="0" borderId="17" xfId="0" applyNumberFormat="1" applyFont="1" applyFill="1" applyBorder="1" applyAlignment="1">
      <alignment vertical="center" shrinkToFit="1"/>
    </xf>
    <xf numFmtId="3" fontId="179" fillId="0" borderId="17" xfId="0" applyNumberFormat="1" applyFont="1" applyFill="1" applyBorder="1" applyAlignment="1">
      <alignment vertical="center" shrinkToFit="1"/>
    </xf>
    <xf numFmtId="4" fontId="191" fillId="0" borderId="17" xfId="0" applyNumberFormat="1" applyFont="1" applyFill="1" applyBorder="1" applyAlignment="1">
      <alignment vertical="center" shrinkToFit="1"/>
    </xf>
    <xf numFmtId="3" fontId="191" fillId="0" borderId="17" xfId="0" applyNumberFormat="1" applyFont="1" applyFill="1" applyBorder="1" applyAlignment="1">
      <alignment vertical="center" shrinkToFit="1"/>
    </xf>
    <xf numFmtId="0" fontId="45" fillId="7" borderId="34" xfId="0" applyFont="1" applyFill="1" applyBorder="1" applyAlignment="1">
      <alignment vertical="center"/>
    </xf>
    <xf numFmtId="1" fontId="11" fillId="7" borderId="34" xfId="0" applyNumberFormat="1" applyFont="1" applyFill="1" applyBorder="1" applyAlignment="1">
      <alignment vertical="center"/>
    </xf>
    <xf numFmtId="1" fontId="11" fillId="7" borderId="41" xfId="0" applyNumberFormat="1" applyFont="1" applyFill="1" applyBorder="1" applyAlignment="1">
      <alignment horizontal="right" vertical="center"/>
    </xf>
    <xf numFmtId="0" fontId="180" fillId="7" borderId="34" xfId="0" applyFont="1" applyFill="1" applyBorder="1" applyAlignment="1">
      <alignment vertical="center"/>
    </xf>
    <xf numFmtId="0" fontId="11" fillId="7" borderId="41" xfId="0" applyFont="1" applyFill="1" applyBorder="1" applyAlignment="1">
      <alignment horizontal="right" vertical="center"/>
    </xf>
    <xf numFmtId="4" fontId="11" fillId="10" borderId="17" xfId="53" applyNumberFormat="1" applyFont="1" applyFill="1" applyBorder="1" applyAlignment="1" applyProtection="1">
      <alignment vertical="center"/>
      <protection/>
    </xf>
    <xf numFmtId="3" fontId="11" fillId="10" borderId="17" xfId="53" applyNumberFormat="1" applyFont="1" applyFill="1" applyBorder="1" applyAlignment="1" applyProtection="1">
      <alignment vertical="center"/>
      <protection/>
    </xf>
    <xf numFmtId="4" fontId="11" fillId="10" borderId="17" xfId="0" applyNumberFormat="1" applyFont="1" applyFill="1" applyBorder="1" applyAlignment="1">
      <alignment vertical="center"/>
    </xf>
    <xf numFmtId="3" fontId="11" fillId="10" borderId="17" xfId="0" applyNumberFormat="1" applyFont="1" applyFill="1" applyBorder="1" applyAlignment="1">
      <alignment vertical="center"/>
    </xf>
    <xf numFmtId="3" fontId="11" fillId="10" borderId="17" xfId="70" applyNumberFormat="1" applyFont="1" applyFill="1" applyBorder="1" applyAlignment="1" applyProtection="1">
      <alignment vertical="center"/>
      <protection/>
    </xf>
    <xf numFmtId="2" fontId="11" fillId="10" borderId="17" xfId="70" applyNumberFormat="1" applyFont="1" applyFill="1" applyBorder="1" applyAlignment="1" applyProtection="1">
      <alignment vertical="center"/>
      <protection/>
    </xf>
    <xf numFmtId="4" fontId="11" fillId="10" borderId="17" xfId="43" applyNumberFormat="1" applyFont="1" applyFill="1" applyBorder="1" applyAlignment="1">
      <alignment vertical="center"/>
    </xf>
    <xf numFmtId="9" fontId="11" fillId="10" borderId="17" xfId="70" applyNumberFormat="1" applyFont="1" applyFill="1" applyBorder="1" applyAlignment="1" applyProtection="1">
      <alignment vertical="center"/>
      <protection/>
    </xf>
    <xf numFmtId="4" fontId="11" fillId="10" borderId="17" xfId="40" applyNumberFormat="1" applyFont="1" applyFill="1" applyBorder="1" applyAlignment="1" applyProtection="1">
      <alignment vertical="center"/>
      <protection locked="0"/>
    </xf>
    <xf numFmtId="3" fontId="11" fillId="10" borderId="17" xfId="40" applyNumberFormat="1" applyFont="1" applyFill="1" applyBorder="1" applyAlignment="1" applyProtection="1">
      <alignment vertical="center"/>
      <protection locked="0"/>
    </xf>
    <xf numFmtId="4" fontId="11" fillId="10" borderId="17" xfId="43" applyNumberFormat="1" applyFont="1" applyFill="1" applyBorder="1" applyAlignment="1" applyProtection="1">
      <alignment vertical="center"/>
      <protection/>
    </xf>
    <xf numFmtId="4" fontId="11" fillId="10" borderId="17" xfId="42" applyNumberFormat="1" applyFont="1" applyFill="1" applyBorder="1" applyAlignment="1" applyProtection="1">
      <alignment vertical="center"/>
      <protection locked="0"/>
    </xf>
    <xf numFmtId="3" fontId="11" fillId="10" borderId="17" xfId="42" applyNumberFormat="1" applyFont="1" applyFill="1" applyBorder="1" applyAlignment="1" applyProtection="1">
      <alignment vertical="center"/>
      <protection locked="0"/>
    </xf>
    <xf numFmtId="4" fontId="11" fillId="10" borderId="17" xfId="43" applyNumberFormat="1" applyFont="1" applyFill="1" applyBorder="1" applyAlignment="1" applyProtection="1">
      <alignment vertical="center"/>
      <protection locked="0"/>
    </xf>
    <xf numFmtId="3" fontId="11" fillId="10" borderId="17" xfId="43" applyNumberFormat="1" applyFont="1" applyFill="1" applyBorder="1" applyAlignment="1" applyProtection="1">
      <alignment vertical="center"/>
      <protection locked="0"/>
    </xf>
    <xf numFmtId="4" fontId="11" fillId="10" borderId="17" xfId="40" applyNumberFormat="1" applyFont="1" applyFill="1" applyBorder="1" applyAlignment="1">
      <alignment vertical="center"/>
    </xf>
    <xf numFmtId="3" fontId="11" fillId="10" borderId="17" xfId="40" applyNumberFormat="1" applyFont="1" applyFill="1" applyBorder="1" applyAlignment="1">
      <alignment vertical="center"/>
    </xf>
    <xf numFmtId="3" fontId="11" fillId="10" borderId="17" xfId="43" applyNumberFormat="1" applyFont="1" applyFill="1" applyBorder="1" applyAlignment="1">
      <alignment vertical="center"/>
    </xf>
    <xf numFmtId="4" fontId="11" fillId="10" borderId="17" xfId="42" applyNumberFormat="1" applyFont="1" applyFill="1" applyBorder="1" applyAlignment="1">
      <alignment vertical="center"/>
    </xf>
    <xf numFmtId="3" fontId="11" fillId="10" borderId="17" xfId="42" applyNumberFormat="1" applyFont="1" applyFill="1" applyBorder="1" applyAlignment="1">
      <alignment vertical="center"/>
    </xf>
    <xf numFmtId="185" fontId="11" fillId="10" borderId="17" xfId="43" applyNumberFormat="1" applyFont="1" applyFill="1" applyBorder="1" applyAlignment="1" applyProtection="1">
      <alignment vertical="center"/>
      <protection locked="0"/>
    </xf>
    <xf numFmtId="4" fontId="11" fillId="53" borderId="17" xfId="70" applyNumberFormat="1" applyFont="1" applyFill="1" applyBorder="1" applyAlignment="1" applyProtection="1">
      <alignment vertical="center"/>
      <protection/>
    </xf>
    <xf numFmtId="3" fontId="11" fillId="53" borderId="17" xfId="70" applyNumberFormat="1" applyFont="1" applyFill="1" applyBorder="1" applyAlignment="1" applyProtection="1">
      <alignment vertical="center"/>
      <protection/>
    </xf>
    <xf numFmtId="4" fontId="45" fillId="53" borderId="17" xfId="53" applyNumberFormat="1" applyFont="1" applyFill="1" applyBorder="1" applyAlignment="1" applyProtection="1">
      <alignment vertical="center"/>
      <protection/>
    </xf>
    <xf numFmtId="3" fontId="45" fillId="53" borderId="17" xfId="53" applyNumberFormat="1" applyFont="1" applyFill="1" applyBorder="1" applyAlignment="1" applyProtection="1">
      <alignment vertical="center"/>
      <protection/>
    </xf>
    <xf numFmtId="9" fontId="11" fillId="53" borderId="17" xfId="70" applyNumberFormat="1" applyFont="1" applyFill="1" applyBorder="1" applyAlignment="1" applyProtection="1">
      <alignment vertical="center"/>
      <protection/>
    </xf>
    <xf numFmtId="2" fontId="11" fillId="53" borderId="17" xfId="70" applyNumberFormat="1" applyFont="1" applyFill="1" applyBorder="1" applyAlignment="1" applyProtection="1">
      <alignment vertical="center"/>
      <protection/>
    </xf>
    <xf numFmtId="4" fontId="11" fillId="53" borderId="17" xfId="43" applyNumberFormat="1" applyFont="1" applyFill="1" applyBorder="1" applyAlignment="1" applyProtection="1">
      <alignment vertical="center"/>
      <protection locked="0"/>
    </xf>
    <xf numFmtId="4" fontId="45" fillId="53" borderId="17" xfId="44" applyNumberFormat="1" applyFont="1" applyFill="1" applyBorder="1" applyAlignment="1" applyProtection="1">
      <alignment vertical="center"/>
      <protection locked="0"/>
    </xf>
    <xf numFmtId="3" fontId="45" fillId="53" borderId="17" xfId="44" applyNumberFormat="1" applyFont="1" applyFill="1" applyBorder="1" applyAlignment="1" applyProtection="1">
      <alignment vertical="center"/>
      <protection locked="0"/>
    </xf>
    <xf numFmtId="4" fontId="45" fillId="53" borderId="17" xfId="0" applyNumberFormat="1" applyFont="1" applyFill="1" applyBorder="1" applyAlignment="1">
      <alignment vertical="center"/>
    </xf>
    <xf numFmtId="3" fontId="45" fillId="53" borderId="17" xfId="0" applyNumberFormat="1" applyFont="1" applyFill="1" applyBorder="1" applyAlignment="1">
      <alignment vertical="center"/>
    </xf>
    <xf numFmtId="4" fontId="11" fillId="53" borderId="17" xfId="0" applyNumberFormat="1" applyFont="1" applyFill="1" applyBorder="1" applyAlignment="1">
      <alignment vertical="center"/>
    </xf>
    <xf numFmtId="4" fontId="11" fillId="53" borderId="17" xfId="43" applyNumberFormat="1" applyFont="1" applyFill="1" applyBorder="1" applyAlignment="1" applyProtection="1">
      <alignment vertical="center"/>
      <protection/>
    </xf>
    <xf numFmtId="4" fontId="45" fillId="53" borderId="17" xfId="42" applyNumberFormat="1" applyFont="1" applyFill="1" applyBorder="1" applyAlignment="1" applyProtection="1">
      <alignment vertical="center"/>
      <protection/>
    </xf>
    <xf numFmtId="3" fontId="45" fillId="53" borderId="17" xfId="42" applyNumberFormat="1" applyFont="1" applyFill="1" applyBorder="1" applyAlignment="1" applyProtection="1">
      <alignment vertical="center"/>
      <protection/>
    </xf>
    <xf numFmtId="4" fontId="45" fillId="53" borderId="17" xfId="42" applyNumberFormat="1" applyFont="1" applyFill="1" applyBorder="1" applyAlignment="1" applyProtection="1">
      <alignment vertical="center"/>
      <protection locked="0"/>
    </xf>
    <xf numFmtId="3" fontId="45" fillId="53" borderId="17" xfId="42" applyNumberFormat="1" applyFont="1" applyFill="1" applyBorder="1" applyAlignment="1" applyProtection="1">
      <alignment vertical="center"/>
      <protection locked="0"/>
    </xf>
    <xf numFmtId="4" fontId="45" fillId="53" borderId="17" xfId="43" applyNumberFormat="1" applyFont="1" applyFill="1" applyBorder="1" applyAlignment="1" applyProtection="1">
      <alignment vertical="center"/>
      <protection locked="0"/>
    </xf>
    <xf numFmtId="3" fontId="45" fillId="53" borderId="17" xfId="43" applyNumberFormat="1" applyFont="1" applyFill="1" applyBorder="1" applyAlignment="1" applyProtection="1">
      <alignment vertical="center"/>
      <protection locked="0"/>
    </xf>
    <xf numFmtId="4" fontId="11" fillId="36" borderId="17" xfId="53" applyNumberFormat="1" applyFont="1" applyFill="1" applyBorder="1" applyAlignment="1" applyProtection="1">
      <alignment vertical="center"/>
      <protection/>
    </xf>
    <xf numFmtId="3" fontId="11" fillId="36" borderId="17" xfId="53" applyNumberFormat="1" applyFont="1" applyFill="1" applyBorder="1" applyAlignment="1" applyProtection="1">
      <alignment vertical="center"/>
      <protection/>
    </xf>
    <xf numFmtId="2" fontId="11" fillId="36" borderId="17" xfId="0" applyNumberFormat="1" applyFont="1" applyFill="1" applyBorder="1" applyAlignment="1" applyProtection="1">
      <alignment vertical="center"/>
      <protection/>
    </xf>
    <xf numFmtId="4" fontId="11" fillId="36" borderId="17" xfId="40" applyNumberFormat="1" applyFont="1" applyFill="1" applyBorder="1" applyAlignment="1" applyProtection="1">
      <alignment vertical="center"/>
      <protection locked="0"/>
    </xf>
    <xf numFmtId="3" fontId="11" fillId="36" borderId="17" xfId="40" applyNumberFormat="1" applyFont="1" applyFill="1" applyBorder="1" applyAlignment="1" applyProtection="1">
      <alignment vertical="center"/>
      <protection locked="0"/>
    </xf>
    <xf numFmtId="4" fontId="11" fillId="36" borderId="17" xfId="42" applyNumberFormat="1" applyFont="1" applyFill="1" applyBorder="1" applyAlignment="1" applyProtection="1">
      <alignment vertical="center"/>
      <protection/>
    </xf>
    <xf numFmtId="4" fontId="11" fillId="36" borderId="17" xfId="42" applyNumberFormat="1" applyFont="1" applyFill="1" applyBorder="1" applyAlignment="1">
      <alignment vertical="center"/>
    </xf>
    <xf numFmtId="3" fontId="11" fillId="36" borderId="17" xfId="42" applyNumberFormat="1" applyFont="1" applyFill="1" applyBorder="1" applyAlignment="1">
      <alignment vertical="center"/>
    </xf>
    <xf numFmtId="4" fontId="11" fillId="36" borderId="17" xfId="42" applyNumberFormat="1" applyFont="1" applyFill="1" applyBorder="1" applyAlignment="1" applyProtection="1">
      <alignment vertical="center"/>
      <protection locked="0"/>
    </xf>
    <xf numFmtId="3" fontId="11" fillId="36" borderId="17" xfId="42" applyNumberFormat="1" applyFont="1" applyFill="1" applyBorder="1" applyAlignment="1" applyProtection="1">
      <alignment vertical="center"/>
      <protection locked="0"/>
    </xf>
    <xf numFmtId="0" fontId="183" fillId="33" borderId="17" xfId="0" applyFont="1" applyFill="1" applyBorder="1" applyAlignment="1" applyProtection="1">
      <alignment vertical="center"/>
      <protection/>
    </xf>
    <xf numFmtId="0" fontId="189" fillId="33" borderId="17" xfId="0" applyFont="1" applyFill="1" applyBorder="1" applyAlignment="1" applyProtection="1">
      <alignment horizontal="center" vertical="center"/>
      <protection/>
    </xf>
    <xf numFmtId="0" fontId="182" fillId="33" borderId="17" xfId="0" applyNumberFormat="1" applyFont="1" applyFill="1" applyBorder="1" applyAlignment="1" applyProtection="1">
      <alignment vertical="center"/>
      <protection/>
    </xf>
    <xf numFmtId="0" fontId="71" fillId="45" borderId="17" xfId="0" applyNumberFormat="1" applyFont="1" applyFill="1" applyBorder="1" applyAlignment="1" applyProtection="1">
      <alignment vertical="center"/>
      <protection/>
    </xf>
    <xf numFmtId="0" fontId="182" fillId="41" borderId="17" xfId="0" applyNumberFormat="1" applyFont="1" applyFill="1" applyBorder="1" applyAlignment="1" applyProtection="1">
      <alignment vertical="center"/>
      <protection/>
    </xf>
    <xf numFmtId="0" fontId="11" fillId="7" borderId="17" xfId="53" applyNumberFormat="1" applyFont="1" applyFill="1" applyBorder="1" applyAlignment="1" applyProtection="1">
      <alignment vertical="center"/>
      <protection locked="0"/>
    </xf>
    <xf numFmtId="0" fontId="33" fillId="46" borderId="17" xfId="0" applyNumberFormat="1" applyFont="1" applyFill="1" applyBorder="1" applyAlignment="1" applyProtection="1">
      <alignment horizontal="center" vertical="center"/>
      <protection/>
    </xf>
    <xf numFmtId="4" fontId="11" fillId="10" borderId="17" xfId="0" applyNumberFormat="1" applyFont="1" applyFill="1" applyBorder="1" applyAlignment="1">
      <alignment horizontal="right" vertical="center"/>
    </xf>
    <xf numFmtId="3" fontId="11" fillId="10" borderId="17" xfId="0" applyNumberFormat="1" applyFont="1" applyFill="1" applyBorder="1" applyAlignment="1">
      <alignment horizontal="right" vertical="center"/>
    </xf>
    <xf numFmtId="3" fontId="11" fillId="10" borderId="17" xfId="70" applyNumberFormat="1" applyFont="1" applyFill="1" applyBorder="1" applyAlignment="1" applyProtection="1">
      <alignment horizontal="right" vertical="center"/>
      <protection/>
    </xf>
    <xf numFmtId="2" fontId="11" fillId="10" borderId="17" xfId="70" applyNumberFormat="1" applyFont="1" applyFill="1" applyBorder="1" applyAlignment="1" applyProtection="1">
      <alignment horizontal="right" vertical="center"/>
      <protection/>
    </xf>
    <xf numFmtId="4" fontId="11" fillId="10" borderId="17" xfId="43" applyNumberFormat="1" applyFont="1" applyFill="1" applyBorder="1" applyAlignment="1" applyProtection="1">
      <alignment horizontal="right" vertical="center"/>
      <protection/>
    </xf>
    <xf numFmtId="9" fontId="11" fillId="10" borderId="17" xfId="70" applyNumberFormat="1" applyFont="1" applyFill="1" applyBorder="1" applyAlignment="1" applyProtection="1">
      <alignment horizontal="right" vertical="center"/>
      <protection/>
    </xf>
    <xf numFmtId="4" fontId="11" fillId="53" borderId="17" xfId="70" applyNumberFormat="1" applyFont="1" applyFill="1" applyBorder="1" applyAlignment="1" applyProtection="1">
      <alignment horizontal="right" vertical="center"/>
      <protection/>
    </xf>
    <xf numFmtId="3" fontId="11" fillId="53" borderId="17" xfId="70" applyNumberFormat="1" applyFont="1" applyFill="1" applyBorder="1" applyAlignment="1" applyProtection="1">
      <alignment horizontal="right" vertical="center"/>
      <protection/>
    </xf>
    <xf numFmtId="9" fontId="11" fillId="53" borderId="17" xfId="70" applyNumberFormat="1" applyFont="1" applyFill="1" applyBorder="1" applyAlignment="1" applyProtection="1">
      <alignment horizontal="right" vertical="center"/>
      <protection/>
    </xf>
    <xf numFmtId="2" fontId="11" fillId="53" borderId="17" xfId="70" applyNumberFormat="1" applyFont="1" applyFill="1" applyBorder="1" applyAlignment="1" applyProtection="1">
      <alignment horizontal="right" vertical="center"/>
      <protection/>
    </xf>
    <xf numFmtId="4" fontId="11" fillId="53" borderId="17" xfId="0" applyNumberFormat="1" applyFont="1" applyFill="1" applyBorder="1" applyAlignment="1">
      <alignment horizontal="right" vertical="center"/>
    </xf>
    <xf numFmtId="2" fontId="11" fillId="36" borderId="17" xfId="0" applyNumberFormat="1" applyFont="1" applyFill="1" applyBorder="1" applyAlignment="1" applyProtection="1">
      <alignment horizontal="right" vertical="center"/>
      <protection/>
    </xf>
    <xf numFmtId="0" fontId="102" fillId="0" borderId="17" xfId="0" applyFont="1" applyFill="1" applyBorder="1" applyAlignment="1">
      <alignment horizontal="right" vertical="center"/>
    </xf>
    <xf numFmtId="185" fontId="11" fillId="10" borderId="17" xfId="43" applyNumberFormat="1" applyFont="1" applyFill="1" applyBorder="1" applyAlignment="1" applyProtection="1">
      <alignment horizontal="right" vertical="center"/>
      <protection locked="0"/>
    </xf>
    <xf numFmtId="4" fontId="11" fillId="53" borderId="17" xfId="43" applyNumberFormat="1" applyFont="1" applyFill="1" applyBorder="1" applyAlignment="1" applyProtection="1">
      <alignment horizontal="right" vertical="center"/>
      <protection locked="0"/>
    </xf>
    <xf numFmtId="0" fontId="11" fillId="0" borderId="17" xfId="0" applyFont="1" applyBorder="1" applyAlignment="1">
      <alignment horizontal="right" vertical="center"/>
    </xf>
    <xf numFmtId="4" fontId="11" fillId="10" borderId="17" xfId="43" applyNumberFormat="1" applyFont="1" applyFill="1" applyBorder="1" applyAlignment="1">
      <alignment horizontal="right" vertical="center"/>
    </xf>
    <xf numFmtId="3" fontId="11" fillId="0" borderId="17" xfId="53" applyNumberFormat="1" applyFont="1" applyBorder="1" applyAlignment="1" applyProtection="1">
      <alignment horizontal="right" vertical="center"/>
      <protection locked="0"/>
    </xf>
    <xf numFmtId="4" fontId="181" fillId="0" borderId="17" xfId="0" applyNumberFormat="1" applyFont="1" applyBorder="1" applyAlignment="1">
      <alignment horizontal="right" vertical="center"/>
    </xf>
    <xf numFmtId="3" fontId="181" fillId="0" borderId="17" xfId="0" applyNumberFormat="1" applyFont="1" applyBorder="1" applyAlignment="1">
      <alignment horizontal="right" vertical="center"/>
    </xf>
    <xf numFmtId="4" fontId="11" fillId="53" borderId="17" xfId="43" applyNumberFormat="1" applyFont="1" applyFill="1" applyBorder="1" applyAlignment="1" applyProtection="1">
      <alignment horizontal="right" vertical="center"/>
      <protection/>
    </xf>
    <xf numFmtId="1" fontId="11" fillId="0" borderId="17" xfId="0" applyNumberFormat="1" applyFont="1" applyFill="1" applyBorder="1" applyAlignment="1">
      <alignment horizontal="right" vertical="center"/>
    </xf>
    <xf numFmtId="4" fontId="11" fillId="10" borderId="17" xfId="40" applyNumberFormat="1" applyFont="1" applyFill="1" applyBorder="1" applyAlignment="1">
      <alignment horizontal="right" vertical="center"/>
    </xf>
    <xf numFmtId="3" fontId="11" fillId="10" borderId="17" xfId="40" applyNumberFormat="1" applyFont="1" applyFill="1" applyBorder="1" applyAlignment="1">
      <alignment horizontal="right" vertical="center"/>
    </xf>
    <xf numFmtId="4" fontId="11" fillId="36" borderId="17" xfId="0" applyNumberFormat="1" applyFont="1" applyFill="1" applyBorder="1" applyAlignment="1">
      <alignment horizontal="right" vertical="center"/>
    </xf>
    <xf numFmtId="4" fontId="11" fillId="10" borderId="17" xfId="53" applyNumberFormat="1" applyFont="1" applyFill="1" applyBorder="1" applyAlignment="1" applyProtection="1">
      <alignment horizontal="right" vertical="center"/>
      <protection/>
    </xf>
    <xf numFmtId="3" fontId="11" fillId="10" borderId="17" xfId="53" applyNumberFormat="1" applyFont="1" applyFill="1" applyBorder="1" applyAlignment="1" applyProtection="1">
      <alignment horizontal="right" vertical="center"/>
      <protection/>
    </xf>
    <xf numFmtId="4" fontId="45" fillId="53" borderId="17" xfId="53" applyNumberFormat="1" applyFont="1" applyFill="1" applyBorder="1" applyAlignment="1" applyProtection="1">
      <alignment horizontal="right" vertical="center"/>
      <protection/>
    </xf>
    <xf numFmtId="3" fontId="45" fillId="53" borderId="17" xfId="53" applyNumberFormat="1" applyFont="1" applyFill="1" applyBorder="1" applyAlignment="1" applyProtection="1">
      <alignment horizontal="right" vertical="center"/>
      <protection/>
    </xf>
    <xf numFmtId="4" fontId="11" fillId="36" borderId="17" xfId="53" applyNumberFormat="1" applyFont="1" applyFill="1" applyBorder="1" applyAlignment="1" applyProtection="1">
      <alignment horizontal="right" vertical="center"/>
      <protection/>
    </xf>
    <xf numFmtId="3" fontId="11" fillId="36" borderId="17" xfId="53" applyNumberFormat="1" applyFont="1" applyFill="1" applyBorder="1" applyAlignment="1" applyProtection="1">
      <alignment horizontal="right" vertical="center"/>
      <protection/>
    </xf>
    <xf numFmtId="4" fontId="11" fillId="0" borderId="17" xfId="40" applyNumberFormat="1" applyFont="1" applyFill="1" applyBorder="1" applyAlignment="1" applyProtection="1">
      <alignment horizontal="right" vertical="center"/>
      <protection locked="0"/>
    </xf>
    <xf numFmtId="4" fontId="11" fillId="33" borderId="17" xfId="40" applyNumberFormat="1" applyFont="1" applyFill="1" applyBorder="1" applyAlignment="1">
      <alignment horizontal="right" vertical="center"/>
    </xf>
    <xf numFmtId="4" fontId="11" fillId="0" borderId="17" xfId="53" applyNumberFormat="1" applyFont="1" applyBorder="1" applyAlignment="1" applyProtection="1">
      <alignment horizontal="right" vertical="center"/>
      <protection locked="0"/>
    </xf>
    <xf numFmtId="3" fontId="11" fillId="0" borderId="17" xfId="40" applyNumberFormat="1" applyFont="1" applyFill="1" applyBorder="1" applyAlignment="1" applyProtection="1">
      <alignment horizontal="right" vertical="center"/>
      <protection locked="0"/>
    </xf>
    <xf numFmtId="3" fontId="11" fillId="33" borderId="17" xfId="40" applyNumberFormat="1" applyFont="1" applyFill="1" applyBorder="1" applyAlignment="1">
      <alignment horizontal="right" vertical="center"/>
    </xf>
    <xf numFmtId="3" fontId="11" fillId="0" borderId="17" xfId="43" applyNumberFormat="1" applyFont="1" applyFill="1" applyBorder="1" applyAlignment="1" applyProtection="1">
      <alignment horizontal="right" vertical="center"/>
      <protection locked="0"/>
    </xf>
    <xf numFmtId="4" fontId="190" fillId="53" borderId="17" xfId="43" applyNumberFormat="1" applyFont="1" applyFill="1" applyBorder="1" applyAlignment="1" applyProtection="1">
      <alignment horizontal="right" vertical="center"/>
      <protection locked="0"/>
    </xf>
    <xf numFmtId="3" fontId="190" fillId="53" borderId="17" xfId="43" applyNumberFormat="1" applyFont="1" applyFill="1" applyBorder="1" applyAlignment="1" applyProtection="1">
      <alignment horizontal="right" vertical="center"/>
      <protection locked="0"/>
    </xf>
    <xf numFmtId="4" fontId="190" fillId="53" borderId="17" xfId="42" applyNumberFormat="1" applyFont="1" applyFill="1" applyBorder="1" applyAlignment="1" applyProtection="1">
      <alignment horizontal="right" vertical="center"/>
      <protection locked="0"/>
    </xf>
    <xf numFmtId="3" fontId="190" fillId="53" borderId="17" xfId="42" applyNumberFormat="1" applyFont="1" applyFill="1" applyBorder="1" applyAlignment="1" applyProtection="1">
      <alignment horizontal="right" vertical="center"/>
      <protection locked="0"/>
    </xf>
    <xf numFmtId="3" fontId="11" fillId="53" borderId="17" xfId="0" applyNumberFormat="1" applyFont="1" applyFill="1" applyBorder="1" applyAlignment="1">
      <alignment horizontal="right" vertical="center"/>
    </xf>
    <xf numFmtId="4" fontId="190" fillId="53" borderId="17" xfId="0" applyNumberFormat="1" applyFont="1" applyFill="1" applyBorder="1" applyAlignment="1">
      <alignment horizontal="right" vertical="center"/>
    </xf>
    <xf numFmtId="3" fontId="190" fillId="53" borderId="17" xfId="0" applyNumberFormat="1" applyFont="1" applyFill="1" applyBorder="1" applyAlignment="1">
      <alignment horizontal="right" vertical="center"/>
    </xf>
    <xf numFmtId="4" fontId="11" fillId="53" borderId="17" xfId="42" applyNumberFormat="1" applyFont="1" applyFill="1" applyBorder="1" applyAlignment="1" applyProtection="1">
      <alignment horizontal="right" vertical="center"/>
      <protection locked="0"/>
    </xf>
    <xf numFmtId="3" fontId="11" fillId="53" borderId="17" xfId="42" applyNumberFormat="1" applyFont="1" applyFill="1" applyBorder="1" applyAlignment="1" applyProtection="1">
      <alignment horizontal="right" vertical="center"/>
      <protection locked="0"/>
    </xf>
    <xf numFmtId="3" fontId="11" fillId="53" borderId="17" xfId="43" applyNumberFormat="1" applyFont="1" applyFill="1" applyBorder="1" applyAlignment="1" applyProtection="1">
      <alignment horizontal="right" vertical="center"/>
      <protection locked="0"/>
    </xf>
    <xf numFmtId="4" fontId="11" fillId="53" borderId="17" xfId="53" applyNumberFormat="1" applyFont="1" applyFill="1" applyBorder="1" applyAlignment="1" applyProtection="1">
      <alignment horizontal="right" vertical="center"/>
      <protection/>
    </xf>
    <xf numFmtId="3" fontId="11" fillId="53" borderId="17" xfId="53" applyNumberFormat="1" applyFont="1" applyFill="1" applyBorder="1" applyAlignment="1" applyProtection="1">
      <alignment horizontal="right" vertical="center"/>
      <protection/>
    </xf>
    <xf numFmtId="4" fontId="181" fillId="0" borderId="17" xfId="0" applyNumberFormat="1" applyFont="1" applyFill="1" applyBorder="1" applyAlignment="1">
      <alignment horizontal="right" vertical="center"/>
    </xf>
    <xf numFmtId="3" fontId="181" fillId="0" borderId="17" xfId="0" applyNumberFormat="1" applyFont="1" applyFill="1" applyBorder="1" applyAlignment="1">
      <alignment horizontal="right" vertical="center"/>
    </xf>
    <xf numFmtId="1" fontId="11" fillId="33" borderId="17" xfId="0" applyNumberFormat="1" applyFont="1" applyFill="1" applyBorder="1" applyAlignment="1">
      <alignment horizontal="right" vertical="center"/>
    </xf>
    <xf numFmtId="4" fontId="11" fillId="33" borderId="17" xfId="0" applyNumberFormat="1" applyFont="1" applyFill="1" applyBorder="1" applyAlignment="1">
      <alignment horizontal="right" vertical="center"/>
    </xf>
    <xf numFmtId="3" fontId="11" fillId="33" borderId="17" xfId="0" applyNumberFormat="1" applyFont="1" applyFill="1" applyBorder="1" applyAlignment="1">
      <alignment horizontal="right" vertical="center"/>
    </xf>
    <xf numFmtId="4" fontId="11" fillId="53" borderId="17" xfId="42" applyNumberFormat="1" applyFont="1" applyFill="1" applyBorder="1" applyAlignment="1" applyProtection="1">
      <alignment horizontal="right" vertical="center"/>
      <protection/>
    </xf>
    <xf numFmtId="3" fontId="11" fillId="53" borderId="17" xfId="42" applyNumberFormat="1" applyFont="1" applyFill="1" applyBorder="1" applyAlignment="1" applyProtection="1">
      <alignment horizontal="right" vertical="center"/>
      <protection/>
    </xf>
    <xf numFmtId="3" fontId="11" fillId="10" borderId="17" xfId="43" applyNumberFormat="1" applyFont="1" applyFill="1" applyBorder="1" applyAlignment="1">
      <alignment horizontal="right" vertical="center"/>
    </xf>
    <xf numFmtId="4" fontId="11" fillId="10" borderId="17" xfId="40" applyNumberFormat="1" applyFont="1" applyFill="1" applyBorder="1" applyAlignment="1" applyProtection="1">
      <alignment horizontal="right" vertical="center"/>
      <protection locked="0"/>
    </xf>
    <xf numFmtId="3" fontId="11" fillId="10" borderId="17" xfId="40" applyNumberFormat="1" applyFont="1" applyFill="1" applyBorder="1" applyAlignment="1" applyProtection="1">
      <alignment horizontal="right" vertical="center"/>
      <protection locked="0"/>
    </xf>
    <xf numFmtId="4" fontId="11" fillId="10" borderId="17" xfId="42" applyNumberFormat="1" applyFont="1" applyFill="1" applyBorder="1" applyAlignment="1" applyProtection="1">
      <alignment horizontal="right" vertical="center"/>
      <protection locked="0"/>
    </xf>
    <xf numFmtId="3" fontId="11" fillId="10" borderId="17" xfId="42" applyNumberFormat="1" applyFont="1" applyFill="1" applyBorder="1" applyAlignment="1" applyProtection="1">
      <alignment horizontal="right" vertical="center"/>
      <protection locked="0"/>
    </xf>
    <xf numFmtId="4" fontId="180" fillId="10" borderId="17" xfId="0" applyNumberFormat="1" applyFont="1" applyFill="1" applyBorder="1" applyAlignment="1">
      <alignment horizontal="right" vertical="center"/>
    </xf>
    <xf numFmtId="3" fontId="180" fillId="10" borderId="17" xfId="0" applyNumberFormat="1" applyFont="1" applyFill="1" applyBorder="1" applyAlignment="1">
      <alignment horizontal="right" vertical="center"/>
    </xf>
    <xf numFmtId="4" fontId="180" fillId="10" borderId="17" xfId="0" applyNumberFormat="1" applyFont="1" applyFill="1" applyBorder="1" applyAlignment="1">
      <alignment vertical="center"/>
    </xf>
    <xf numFmtId="3" fontId="180" fillId="10" borderId="17" xfId="0" applyNumberFormat="1" applyFont="1" applyFill="1" applyBorder="1" applyAlignment="1">
      <alignment vertical="center"/>
    </xf>
    <xf numFmtId="0" fontId="17" fillId="34" borderId="35" xfId="0" applyFont="1" applyFill="1" applyBorder="1" applyAlignment="1" applyProtection="1">
      <alignment vertical="center"/>
      <protection/>
    </xf>
    <xf numFmtId="4" fontId="45" fillId="8" borderId="34" xfId="0" applyNumberFormat="1" applyFont="1" applyFill="1" applyBorder="1" applyAlignment="1">
      <alignment vertical="center"/>
    </xf>
    <xf numFmtId="3" fontId="45" fillId="8" borderId="45" xfId="0" applyNumberFormat="1" applyFont="1" applyFill="1" applyBorder="1" applyAlignment="1">
      <alignment vertical="center"/>
    </xf>
    <xf numFmtId="0" fontId="15" fillId="33" borderId="39" xfId="0" applyFont="1" applyFill="1" applyBorder="1" applyAlignment="1" applyProtection="1">
      <alignment horizontal="center" vertical="center" wrapText="1"/>
      <protection/>
    </xf>
    <xf numFmtId="0" fontId="190" fillId="7" borderId="34" xfId="0" applyFont="1" applyFill="1" applyBorder="1" applyAlignment="1" applyProtection="1">
      <alignment vertical="center"/>
      <protection/>
    </xf>
    <xf numFmtId="0" fontId="190" fillId="7" borderId="34" xfId="0" applyNumberFormat="1" applyFont="1" applyFill="1" applyBorder="1" applyAlignment="1" applyProtection="1">
      <alignment vertical="center"/>
      <protection locked="0"/>
    </xf>
    <xf numFmtId="0" fontId="190" fillId="7" borderId="17" xfId="0" applyFont="1" applyFill="1" applyBorder="1" applyAlignment="1">
      <alignment vertical="center"/>
    </xf>
    <xf numFmtId="0" fontId="190" fillId="7" borderId="17" xfId="0" applyNumberFormat="1" applyFont="1" applyFill="1" applyBorder="1" applyAlignment="1" applyProtection="1">
      <alignment vertical="center"/>
      <protection locked="0"/>
    </xf>
    <xf numFmtId="0" fontId="190" fillId="7" borderId="17" xfId="0" applyNumberFormat="1" applyFont="1" applyFill="1" applyBorder="1" applyAlignment="1" applyProtection="1">
      <alignment vertical="center"/>
      <protection/>
    </xf>
    <xf numFmtId="4" fontId="192" fillId="10" borderId="17" xfId="0" applyNumberFormat="1" applyFont="1" applyFill="1" applyBorder="1" applyAlignment="1">
      <alignment horizontal="right" vertical="center"/>
    </xf>
    <xf numFmtId="3" fontId="192" fillId="10" borderId="17" xfId="0" applyNumberFormat="1" applyFont="1" applyFill="1" applyBorder="1" applyAlignment="1">
      <alignment horizontal="right" vertical="center"/>
    </xf>
    <xf numFmtId="0" fontId="15" fillId="34" borderId="43" xfId="40" applyNumberFormat="1" applyFont="1" applyFill="1" applyBorder="1" applyAlignment="1" applyProtection="1">
      <alignment horizontal="center" wrapText="1"/>
      <protection/>
    </xf>
    <xf numFmtId="0" fontId="0" fillId="0" borderId="46" xfId="0" applyNumberFormat="1" applyBorder="1" applyAlignment="1">
      <alignment horizontal="center" wrapText="1"/>
    </xf>
    <xf numFmtId="0" fontId="0" fillId="0" borderId="47" xfId="0" applyNumberFormat="1" applyBorder="1" applyAlignment="1">
      <alignment horizontal="center" wrapText="1"/>
    </xf>
    <xf numFmtId="0" fontId="15" fillId="34" borderId="28" xfId="40" applyNumberFormat="1" applyFont="1" applyFill="1" applyBorder="1" applyAlignment="1" applyProtection="1">
      <alignment horizontal="center" wrapText="1"/>
      <protection/>
    </xf>
    <xf numFmtId="0" fontId="0" fillId="0" borderId="48" xfId="0" applyNumberFormat="1" applyBorder="1" applyAlignment="1">
      <alignment horizontal="center" wrapText="1"/>
    </xf>
    <xf numFmtId="0" fontId="0" fillId="0" borderId="49" xfId="0" applyNumberFormat="1" applyBorder="1" applyAlignment="1">
      <alignment horizontal="center" wrapText="1"/>
    </xf>
    <xf numFmtId="0" fontId="45" fillId="46" borderId="17" xfId="0" applyFont="1" applyFill="1" applyBorder="1" applyAlignment="1" applyProtection="1">
      <alignment horizontal="left" vertical="center" wrapText="1"/>
      <protection/>
    </xf>
    <xf numFmtId="0" fontId="25" fillId="33" borderId="50" xfId="0" applyFont="1" applyFill="1" applyBorder="1" applyAlignment="1" applyProtection="1">
      <alignment horizontal="center" vertical="center" wrapText="1"/>
      <protection/>
    </xf>
    <xf numFmtId="190" fontId="25" fillId="33" borderId="50" xfId="0" applyNumberFormat="1" applyFont="1" applyFill="1" applyBorder="1" applyAlignment="1" applyProtection="1">
      <alignment horizontal="center" vertical="center" wrapText="1"/>
      <protection/>
    </xf>
    <xf numFmtId="0" fontId="45" fillId="40" borderId="17" xfId="0" applyFont="1" applyFill="1" applyBorder="1" applyAlignment="1" applyProtection="1">
      <alignment horizontal="left" vertical="center" wrapText="1"/>
      <protection/>
    </xf>
    <xf numFmtId="0" fontId="15" fillId="34" borderId="10" xfId="0" applyFont="1" applyFill="1" applyBorder="1" applyAlignment="1" applyProtection="1">
      <alignment horizontal="center" vertical="center" wrapText="1"/>
      <protection/>
    </xf>
    <xf numFmtId="0" fontId="15" fillId="35" borderId="19" xfId="0" applyFont="1" applyFill="1" applyBorder="1" applyAlignment="1" applyProtection="1">
      <alignment horizontal="center" vertical="center" wrapText="1"/>
      <protection/>
    </xf>
    <xf numFmtId="0" fontId="193" fillId="43" borderId="17" xfId="0" applyFont="1" applyFill="1" applyBorder="1" applyAlignment="1" applyProtection="1">
      <alignment horizontal="left" vertical="center" wrapText="1"/>
      <protection/>
    </xf>
    <xf numFmtId="0" fontId="15" fillId="35" borderId="29" xfId="0" applyFont="1" applyFill="1" applyBorder="1" applyAlignment="1" applyProtection="1">
      <alignment horizontal="center" vertical="center" wrapText="1"/>
      <protection/>
    </xf>
    <xf numFmtId="0" fontId="15" fillId="35" borderId="51" xfId="0" applyFont="1" applyFill="1" applyBorder="1" applyAlignment="1" applyProtection="1">
      <alignment horizontal="center" vertical="center" wrapText="1"/>
      <protection/>
    </xf>
    <xf numFmtId="3" fontId="25" fillId="36" borderId="0" xfId="0" applyNumberFormat="1" applyFont="1" applyFill="1" applyBorder="1" applyAlignment="1" applyProtection="1">
      <alignment horizontal="right" vertical="center" wrapText="1" indent="1"/>
      <protection/>
    </xf>
    <xf numFmtId="0" fontId="0" fillId="36" borderId="0" xfId="0" applyFont="1" applyFill="1" applyBorder="1" applyAlignment="1">
      <alignment horizontal="right" indent="1"/>
    </xf>
    <xf numFmtId="4" fontId="25" fillId="36" borderId="0" xfId="0" applyNumberFormat="1" applyFont="1" applyFill="1" applyBorder="1" applyAlignment="1">
      <alignment horizontal="right" vertical="center" wrapText="1" indent="1"/>
    </xf>
    <xf numFmtId="0" fontId="16" fillId="34" borderId="16" xfId="0" applyFont="1" applyFill="1" applyBorder="1" applyAlignment="1" applyProtection="1">
      <alignment horizontal="center" vertical="center" wrapText="1"/>
      <protection/>
    </xf>
    <xf numFmtId="3" fontId="44" fillId="36" borderId="0" xfId="0" applyNumberFormat="1" applyFont="1" applyFill="1" applyBorder="1" applyAlignment="1" applyProtection="1">
      <alignment horizontal="center" vertical="center" wrapText="1"/>
      <protection/>
    </xf>
    <xf numFmtId="0" fontId="43" fillId="36" borderId="0" xfId="0" applyFont="1" applyFill="1" applyBorder="1" applyAlignment="1">
      <alignment horizontal="center" wrapText="1"/>
    </xf>
    <xf numFmtId="0" fontId="52" fillId="33" borderId="0" xfId="51" applyFont="1" applyFill="1" applyBorder="1" applyAlignment="1" applyProtection="1">
      <alignment horizontal="center" vertical="center" wrapText="1"/>
      <protection/>
    </xf>
    <xf numFmtId="0" fontId="27" fillId="33" borderId="0" xfId="0" applyFont="1" applyFill="1" applyBorder="1" applyAlignment="1">
      <alignment horizontal="center" vertical="center" wrapText="1"/>
    </xf>
    <xf numFmtId="0" fontId="20" fillId="34" borderId="10" xfId="0" applyFont="1" applyFill="1" applyBorder="1" applyAlignment="1" applyProtection="1">
      <alignment horizontal="center" vertical="center" wrapText="1"/>
      <protection/>
    </xf>
    <xf numFmtId="2" fontId="35" fillId="36" borderId="0" xfId="0" applyNumberFormat="1" applyFont="1" applyFill="1" applyBorder="1" applyAlignment="1">
      <alignment horizontal="right" vertical="center" wrapText="1" indent="1"/>
    </xf>
    <xf numFmtId="0" fontId="193" fillId="42" borderId="17" xfId="0" applyFont="1" applyFill="1" applyBorder="1" applyAlignment="1" applyProtection="1">
      <alignment horizontal="left" vertical="center" wrapText="1"/>
      <protection/>
    </xf>
    <xf numFmtId="0" fontId="193" fillId="42" borderId="17" xfId="0" applyFont="1" applyFill="1" applyBorder="1" applyAlignment="1">
      <alignment horizontal="left" vertical="center" wrapText="1"/>
    </xf>
    <xf numFmtId="3" fontId="37" fillId="33" borderId="0" xfId="0" applyNumberFormat="1" applyFont="1" applyFill="1" applyBorder="1" applyAlignment="1" applyProtection="1">
      <alignment horizontal="right" vertical="center" wrapText="1"/>
      <protection/>
    </xf>
    <xf numFmtId="0" fontId="48" fillId="0" borderId="0" xfId="0" applyFont="1" applyAlignment="1">
      <alignment vertical="center" wrapText="1"/>
    </xf>
    <xf numFmtId="0" fontId="0" fillId="0" borderId="0" xfId="0" applyFont="1" applyAlignment="1">
      <alignment vertical="center" wrapText="1"/>
    </xf>
    <xf numFmtId="0" fontId="55" fillId="14" borderId="52" xfId="0" applyFont="1" applyFill="1" applyBorder="1" applyAlignment="1" applyProtection="1">
      <alignment horizontal="center" vertical="center" wrapText="1"/>
      <protection/>
    </xf>
    <xf numFmtId="0" fontId="57" fillId="14" borderId="52" xfId="0" applyFont="1" applyFill="1" applyBorder="1" applyAlignment="1" applyProtection="1">
      <alignment horizontal="center" vertical="center" wrapText="1"/>
      <protection/>
    </xf>
    <xf numFmtId="0" fontId="58" fillId="0" borderId="0" xfId="0" applyFont="1" applyBorder="1" applyAlignment="1">
      <alignment horizontal="center" vertical="center" wrapText="1"/>
    </xf>
    <xf numFmtId="0" fontId="36" fillId="36" borderId="0" xfId="0" applyFont="1" applyFill="1" applyBorder="1" applyAlignment="1" applyProtection="1">
      <alignment horizontal="center" vertical="center" wrapText="1"/>
      <protection/>
    </xf>
    <xf numFmtId="0" fontId="43" fillId="36" borderId="0" xfId="0" applyFont="1" applyFill="1" applyBorder="1" applyAlignment="1">
      <alignment horizontal="center" vertical="center" wrapText="1"/>
    </xf>
    <xf numFmtId="0" fontId="193" fillId="47" borderId="17" xfId="0" applyFont="1" applyFill="1" applyBorder="1" applyAlignment="1" applyProtection="1">
      <alignment horizontal="left" vertical="center" wrapText="1"/>
      <protection/>
    </xf>
    <xf numFmtId="0" fontId="193" fillId="48" borderId="17" xfId="0" applyFont="1" applyFill="1" applyBorder="1" applyAlignment="1" applyProtection="1">
      <alignment horizontal="left" vertical="center" wrapText="1"/>
      <protection/>
    </xf>
    <xf numFmtId="0" fontId="45" fillId="45" borderId="17" xfId="0" applyFont="1" applyFill="1" applyBorder="1" applyAlignment="1" applyProtection="1">
      <alignment horizontal="left" vertical="center" wrapText="1"/>
      <protection/>
    </xf>
    <xf numFmtId="0" fontId="45" fillId="44" borderId="17" xfId="0" applyFont="1" applyFill="1" applyBorder="1" applyAlignment="1" applyProtection="1">
      <alignment horizontal="left" vertical="center" wrapText="1"/>
      <protection/>
    </xf>
    <xf numFmtId="0" fontId="45" fillId="44" borderId="17" xfId="0" applyFont="1" applyFill="1" applyBorder="1" applyAlignment="1">
      <alignment horizontal="left" vertical="center" wrapText="1"/>
    </xf>
    <xf numFmtId="1" fontId="10" fillId="33" borderId="0" xfId="0" applyNumberFormat="1" applyFont="1" applyFill="1" applyBorder="1" applyAlignment="1" applyProtection="1">
      <alignment horizontal="center" vertical="center" wrapText="1"/>
      <protection/>
    </xf>
    <xf numFmtId="0" fontId="47" fillId="33" borderId="0" xfId="0" applyFont="1" applyFill="1" applyBorder="1" applyAlignment="1" applyProtection="1">
      <alignment horizontal="center" vertical="center" wrapText="1"/>
      <protection/>
    </xf>
    <xf numFmtId="1" fontId="19" fillId="33" borderId="0" xfId="0" applyNumberFormat="1" applyFont="1" applyFill="1" applyBorder="1" applyAlignment="1" applyProtection="1">
      <alignment horizontal="center" vertical="center" wrapText="1"/>
      <protection/>
    </xf>
    <xf numFmtId="0" fontId="49" fillId="33" borderId="0" xfId="0" applyFont="1" applyFill="1" applyBorder="1" applyAlignment="1" applyProtection="1">
      <alignment horizontal="center" vertical="center" wrapText="1"/>
      <protection/>
    </xf>
    <xf numFmtId="1" fontId="31" fillId="33" borderId="11" xfId="51" applyNumberFormat="1" applyFont="1" applyFill="1" applyBorder="1" applyAlignment="1" applyProtection="1">
      <alignment horizontal="center" vertical="center" wrapText="1"/>
      <protection/>
    </xf>
    <xf numFmtId="0" fontId="30" fillId="33" borderId="11" xfId="0" applyFont="1" applyFill="1" applyBorder="1" applyAlignment="1" applyProtection="1">
      <alignment horizontal="center" vertical="center" wrapText="1"/>
      <protection/>
    </xf>
    <xf numFmtId="190" fontId="54" fillId="33" borderId="53"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33" borderId="53" xfId="0" applyFont="1" applyFill="1" applyBorder="1" applyAlignment="1" applyProtection="1">
      <alignment vertical="center" wrapText="1"/>
      <protection/>
    </xf>
    <xf numFmtId="0" fontId="16" fillId="34" borderId="54" xfId="0" applyFont="1" applyFill="1" applyBorder="1" applyAlignment="1" applyProtection="1">
      <alignment horizontal="center" vertical="center" wrapText="1"/>
      <protection/>
    </xf>
    <xf numFmtId="0" fontId="16" fillId="34" borderId="55" xfId="0" applyFont="1" applyFill="1" applyBorder="1" applyAlignment="1" applyProtection="1">
      <alignment horizontal="center" vertical="center" wrapText="1"/>
      <protection/>
    </xf>
    <xf numFmtId="190" fontId="13" fillId="33" borderId="56" xfId="0" applyNumberFormat="1" applyFont="1" applyFill="1" applyBorder="1" applyAlignment="1" applyProtection="1">
      <alignment horizontal="left" vertical="center" wrapText="1"/>
      <protection/>
    </xf>
    <xf numFmtId="0" fontId="0" fillId="33" borderId="52" xfId="0" applyFill="1" applyBorder="1" applyAlignment="1" applyProtection="1">
      <alignment vertical="center" wrapText="1"/>
      <protection/>
    </xf>
    <xf numFmtId="0" fontId="0" fillId="33" borderId="57" xfId="0" applyFill="1" applyBorder="1" applyAlignment="1" applyProtection="1">
      <alignment vertical="center" wrapText="1"/>
      <protection/>
    </xf>
    <xf numFmtId="0" fontId="0" fillId="33" borderId="53"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58" xfId="0" applyFill="1" applyBorder="1" applyAlignment="1" applyProtection="1">
      <alignment vertical="center" wrapText="1"/>
      <protection/>
    </xf>
    <xf numFmtId="0" fontId="0" fillId="33" borderId="37"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59" xfId="0" applyFill="1" applyBorder="1" applyAlignment="1" applyProtection="1">
      <alignment vertical="center" wrapText="1"/>
      <protection/>
    </xf>
    <xf numFmtId="0" fontId="194" fillId="14" borderId="11" xfId="0" applyFont="1" applyFill="1" applyBorder="1" applyAlignment="1" applyProtection="1">
      <alignment horizontal="center" vertical="center" wrapText="1"/>
      <protection/>
    </xf>
    <xf numFmtId="0" fontId="195" fillId="14" borderId="0" xfId="0" applyFont="1" applyFill="1" applyBorder="1" applyAlignment="1">
      <alignment horizontal="center" vertical="center" wrapText="1"/>
    </xf>
    <xf numFmtId="0" fontId="195" fillId="14" borderId="11" xfId="0" applyFont="1" applyFill="1" applyBorder="1" applyAlignment="1">
      <alignment horizontal="center" vertical="center" wrapText="1"/>
    </xf>
    <xf numFmtId="0" fontId="15" fillId="33" borderId="19" xfId="0" applyFont="1" applyFill="1" applyBorder="1" applyAlignment="1" applyProtection="1">
      <alignment horizontal="center" vertical="center" wrapText="1"/>
      <protection/>
    </xf>
    <xf numFmtId="0" fontId="15" fillId="33" borderId="40"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5" fillId="33" borderId="38" xfId="0" applyFont="1" applyFill="1" applyBorder="1" applyAlignment="1" applyProtection="1">
      <alignment horizontal="center" vertical="center" wrapText="1"/>
      <protection/>
    </xf>
    <xf numFmtId="1" fontId="40" fillId="33" borderId="0" xfId="0" applyNumberFormat="1" applyFont="1" applyFill="1" applyBorder="1" applyAlignment="1" applyProtection="1">
      <alignment horizontal="center" vertical="center" wrapText="1"/>
      <protection/>
    </xf>
    <xf numFmtId="0" fontId="29" fillId="33" borderId="0" xfId="0" applyFont="1" applyFill="1" applyBorder="1" applyAlignment="1" applyProtection="1">
      <alignment horizontal="center" vertical="center" wrapText="1"/>
      <protection/>
    </xf>
    <xf numFmtId="1" fontId="23"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1" fillId="14" borderId="0" xfId="0" applyFont="1" applyFill="1" applyBorder="1" applyAlignment="1" applyProtection="1">
      <alignment horizontal="center" vertical="center" wrapText="1"/>
      <protection/>
    </xf>
    <xf numFmtId="0" fontId="61" fillId="14" borderId="0" xfId="0" applyFont="1" applyFill="1" applyBorder="1" applyAlignment="1" applyProtection="1">
      <alignment horizontal="center" vertical="center" wrapText="1"/>
      <protection/>
    </xf>
    <xf numFmtId="0" fontId="62" fillId="0" borderId="11" xfId="0" applyFont="1" applyBorder="1" applyAlignment="1">
      <alignment horizontal="center" vertical="center" wrapText="1"/>
    </xf>
    <xf numFmtId="0" fontId="16" fillId="33" borderId="16" xfId="0" applyFont="1" applyFill="1" applyBorder="1" applyAlignment="1" applyProtection="1">
      <alignment horizontal="center" vertical="center" wrapText="1"/>
      <protection/>
    </xf>
    <xf numFmtId="0" fontId="16" fillId="33" borderId="55" xfId="0" applyFont="1" applyFill="1" applyBorder="1" applyAlignment="1" applyProtection="1">
      <alignment horizontal="center" vertical="center" wrapText="1"/>
      <protection/>
    </xf>
    <xf numFmtId="0" fontId="196" fillId="54" borderId="41" xfId="0" applyFont="1" applyFill="1" applyBorder="1" applyAlignment="1">
      <alignment horizontal="center" wrapText="1"/>
    </xf>
    <xf numFmtId="0" fontId="0" fillId="0" borderId="60" xfId="0" applyFont="1" applyBorder="1" applyAlignment="1">
      <alignment wrapText="1"/>
    </xf>
    <xf numFmtId="0" fontId="0" fillId="0" borderId="61" xfId="0" applyFont="1" applyBorder="1" applyAlignment="1">
      <alignment wrapText="1"/>
    </xf>
    <xf numFmtId="0" fontId="188" fillId="0" borderId="62" xfId="0" applyFont="1" applyBorder="1" applyAlignment="1">
      <alignment horizontal="center" wrapText="1"/>
    </xf>
    <xf numFmtId="0" fontId="188" fillId="0" borderId="63" xfId="0" applyFont="1" applyBorder="1" applyAlignment="1">
      <alignment horizontal="center" wrapText="1"/>
    </xf>
    <xf numFmtId="0" fontId="188" fillId="0" borderId="64" xfId="0" applyFont="1" applyBorder="1" applyAlignment="1">
      <alignment horizontal="center" wrapText="1"/>
    </xf>
    <xf numFmtId="0" fontId="165" fillId="54" borderId="0" xfId="0" applyNumberFormat="1" applyFont="1" applyFill="1" applyAlignment="1">
      <alignment horizontal="center" wrapText="1"/>
    </xf>
    <xf numFmtId="0" fontId="179" fillId="0" borderId="11" xfId="0" applyFont="1" applyBorder="1" applyAlignment="1">
      <alignment horizontal="center" wrapText="1"/>
    </xf>
    <xf numFmtId="9" fontId="197" fillId="0" borderId="65" xfId="0" applyNumberFormat="1" applyFont="1" applyBorder="1" applyAlignment="1">
      <alignment horizontal="center" vertical="center" wrapText="1"/>
    </xf>
    <xf numFmtId="9" fontId="198" fillId="0" borderId="66" xfId="0" applyNumberFormat="1" applyFont="1" applyBorder="1" applyAlignment="1">
      <alignment horizontal="center" vertical="center" wrapText="1"/>
    </xf>
    <xf numFmtId="0" fontId="199" fillId="51" borderId="0" xfId="0" applyFont="1" applyFill="1" applyAlignment="1">
      <alignment horizontal="center" vertical="center" textRotation="180" wrapText="1"/>
    </xf>
    <xf numFmtId="0" fontId="0" fillId="0" borderId="0" xfId="0" applyAlignment="1">
      <alignment wrapText="1"/>
    </xf>
    <xf numFmtId="0" fontId="199" fillId="55" borderId="0" xfId="0" applyFont="1" applyFill="1" applyAlignment="1">
      <alignment horizontal="center" vertical="center" textRotation="180" wrapText="1"/>
    </xf>
    <xf numFmtId="0" fontId="0" fillId="55" borderId="0" xfId="0" applyFill="1" applyAlignment="1">
      <alignment wrapText="1"/>
    </xf>
    <xf numFmtId="9" fontId="200" fillId="0" borderId="65" xfId="0" applyNumberFormat="1" applyFont="1" applyBorder="1" applyAlignment="1">
      <alignment horizontal="center" vertical="center" wrapText="1"/>
    </xf>
    <xf numFmtId="9" fontId="201" fillId="0" borderId="66" xfId="0" applyNumberFormat="1" applyFont="1" applyBorder="1" applyAlignment="1">
      <alignment horizontal="center" vertical="center" wrapText="1"/>
    </xf>
    <xf numFmtId="0" fontId="202" fillId="5" borderId="67" xfId="0" applyFont="1" applyFill="1" applyBorder="1" applyAlignment="1">
      <alignment horizontal="center" wrapText="1"/>
    </xf>
    <xf numFmtId="0" fontId="203" fillId="5" borderId="67" xfId="0" applyFont="1" applyFill="1" applyBorder="1" applyAlignment="1">
      <alignment horizontal="center" wrapText="1"/>
    </xf>
    <xf numFmtId="9" fontId="202" fillId="0" borderId="65" xfId="0" applyNumberFormat="1" applyFont="1" applyBorder="1" applyAlignment="1">
      <alignment horizontal="center" vertical="center" wrapText="1"/>
    </xf>
    <xf numFmtId="9" fontId="203" fillId="0" borderId="66" xfId="0" applyNumberFormat="1" applyFont="1" applyBorder="1" applyAlignment="1">
      <alignment horizontal="center" vertical="center" wrapText="1"/>
    </xf>
    <xf numFmtId="0" fontId="204" fillId="43" borderId="0" xfId="0" applyFont="1" applyFill="1" applyAlignment="1">
      <alignment horizontal="center" wrapText="1"/>
    </xf>
    <xf numFmtId="0" fontId="205" fillId="43" borderId="0" xfId="0" applyFont="1" applyFill="1" applyAlignment="1">
      <alignment horizontal="center" wrapText="1"/>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225456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20783550" y="0"/>
          <a:ext cx="17621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247650</xdr:colOff>
      <xdr:row>3</xdr:row>
      <xdr:rowOff>104775</xdr:rowOff>
    </xdr:from>
    <xdr:to>
      <xdr:col>17</xdr:col>
      <xdr:colOff>352425</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11610975" y="1409700"/>
          <a:ext cx="24574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87153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87153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7105650" y="0"/>
          <a:ext cx="16287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87153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8715375"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8734425"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10887075"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7077075"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7105650" y="0"/>
          <a:ext cx="16287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87344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8734425"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8858250"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9001125" y="381000"/>
          <a:ext cx="2009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133350</xdr:rowOff>
    </xdr:from>
    <xdr:to>
      <xdr:col>2</xdr:col>
      <xdr:colOff>1781175</xdr:colOff>
      <xdr:row>3</xdr:row>
      <xdr:rowOff>85725</xdr:rowOff>
    </xdr:to>
    <xdr:pic>
      <xdr:nvPicPr>
        <xdr:cNvPr id="1" name="Picture 82" descr="Logo son"/>
        <xdr:cNvPicPr preferRelativeResize="1">
          <a:picLocks noChangeAspect="1"/>
        </xdr:cNvPicPr>
      </xdr:nvPicPr>
      <xdr:blipFill>
        <a:blip r:embed="rId1"/>
        <a:stretch>
          <a:fillRect/>
        </a:stretch>
      </xdr:blipFill>
      <xdr:spPr>
        <a:xfrm>
          <a:off x="285750" y="133350"/>
          <a:ext cx="2009775" cy="552450"/>
        </a:xfrm>
        <a:prstGeom prst="rect">
          <a:avLst/>
        </a:prstGeom>
        <a:noFill/>
        <a:ln w="9525" cmpd="sng">
          <a:noFill/>
        </a:ln>
      </xdr:spPr>
    </xdr:pic>
    <xdr:clientData/>
  </xdr:twoCellAnchor>
  <xdr:twoCellAnchor editAs="oneCell">
    <xdr:from>
      <xdr:col>1</xdr:col>
      <xdr:colOff>85725</xdr:colOff>
      <xdr:row>13</xdr:row>
      <xdr:rowOff>133350</xdr:rowOff>
    </xdr:from>
    <xdr:to>
      <xdr:col>2</xdr:col>
      <xdr:colOff>1781175</xdr:colOff>
      <xdr:row>16</xdr:row>
      <xdr:rowOff>85725</xdr:rowOff>
    </xdr:to>
    <xdr:pic>
      <xdr:nvPicPr>
        <xdr:cNvPr id="2" name="Picture 82" descr="Logo son"/>
        <xdr:cNvPicPr preferRelativeResize="1">
          <a:picLocks noChangeAspect="1"/>
        </xdr:cNvPicPr>
      </xdr:nvPicPr>
      <xdr:blipFill>
        <a:blip r:embed="rId1"/>
        <a:stretch>
          <a:fillRect/>
        </a:stretch>
      </xdr:blipFill>
      <xdr:spPr>
        <a:xfrm>
          <a:off x="285750" y="2828925"/>
          <a:ext cx="2009775" cy="552450"/>
        </a:xfrm>
        <a:prstGeom prst="rect">
          <a:avLst/>
        </a:prstGeom>
        <a:noFill/>
        <a:ln w="9525" cmpd="sng">
          <a:noFill/>
        </a:ln>
      </xdr:spPr>
    </xdr:pic>
    <xdr:clientData/>
  </xdr:twoCellAnchor>
  <xdr:twoCellAnchor editAs="oneCell">
    <xdr:from>
      <xdr:col>1</xdr:col>
      <xdr:colOff>85725</xdr:colOff>
      <xdr:row>26</xdr:row>
      <xdr:rowOff>133350</xdr:rowOff>
    </xdr:from>
    <xdr:to>
      <xdr:col>2</xdr:col>
      <xdr:colOff>1781175</xdr:colOff>
      <xdr:row>29</xdr:row>
      <xdr:rowOff>85725</xdr:rowOff>
    </xdr:to>
    <xdr:pic>
      <xdr:nvPicPr>
        <xdr:cNvPr id="3" name="Picture 82" descr="Logo son"/>
        <xdr:cNvPicPr preferRelativeResize="1">
          <a:picLocks noChangeAspect="1"/>
        </xdr:cNvPicPr>
      </xdr:nvPicPr>
      <xdr:blipFill>
        <a:blip r:embed="rId1"/>
        <a:stretch>
          <a:fillRect/>
        </a:stretch>
      </xdr:blipFill>
      <xdr:spPr>
        <a:xfrm>
          <a:off x="285750" y="5829300"/>
          <a:ext cx="2009775" cy="552450"/>
        </a:xfrm>
        <a:prstGeom prst="rect">
          <a:avLst/>
        </a:prstGeom>
        <a:noFill/>
        <a:ln w="9525" cmpd="sng">
          <a:noFill/>
        </a:ln>
      </xdr:spPr>
    </xdr:pic>
    <xdr:clientData/>
  </xdr:twoCellAnchor>
  <xdr:twoCellAnchor editAs="oneCell">
    <xdr:from>
      <xdr:col>1</xdr:col>
      <xdr:colOff>85725</xdr:colOff>
      <xdr:row>40</xdr:row>
      <xdr:rowOff>133350</xdr:rowOff>
    </xdr:from>
    <xdr:to>
      <xdr:col>2</xdr:col>
      <xdr:colOff>1781175</xdr:colOff>
      <xdr:row>43</xdr:row>
      <xdr:rowOff>85725</xdr:rowOff>
    </xdr:to>
    <xdr:pic>
      <xdr:nvPicPr>
        <xdr:cNvPr id="4" name="Picture 82" descr="Logo son"/>
        <xdr:cNvPicPr preferRelativeResize="1">
          <a:picLocks noChangeAspect="1"/>
        </xdr:cNvPicPr>
      </xdr:nvPicPr>
      <xdr:blipFill>
        <a:blip r:embed="rId1"/>
        <a:stretch>
          <a:fillRect/>
        </a:stretch>
      </xdr:blipFill>
      <xdr:spPr>
        <a:xfrm>
          <a:off x="285750" y="9077325"/>
          <a:ext cx="2009775" cy="552450"/>
        </a:xfrm>
        <a:prstGeom prst="rect">
          <a:avLst/>
        </a:prstGeom>
        <a:noFill/>
        <a:ln w="9525" cmpd="sng">
          <a:noFill/>
        </a:ln>
      </xdr:spPr>
    </xdr:pic>
    <xdr:clientData/>
  </xdr:twoCellAnchor>
  <xdr:twoCellAnchor editAs="oneCell">
    <xdr:from>
      <xdr:col>1</xdr:col>
      <xdr:colOff>85725</xdr:colOff>
      <xdr:row>54</xdr:row>
      <xdr:rowOff>133350</xdr:rowOff>
    </xdr:from>
    <xdr:to>
      <xdr:col>2</xdr:col>
      <xdr:colOff>1781175</xdr:colOff>
      <xdr:row>57</xdr:row>
      <xdr:rowOff>85725</xdr:rowOff>
    </xdr:to>
    <xdr:pic>
      <xdr:nvPicPr>
        <xdr:cNvPr id="5" name="Picture 82" descr="Logo son"/>
        <xdr:cNvPicPr preferRelativeResize="1">
          <a:picLocks noChangeAspect="1"/>
        </xdr:cNvPicPr>
      </xdr:nvPicPr>
      <xdr:blipFill>
        <a:blip r:embed="rId1"/>
        <a:stretch>
          <a:fillRect/>
        </a:stretch>
      </xdr:blipFill>
      <xdr:spPr>
        <a:xfrm>
          <a:off x="285750" y="12325350"/>
          <a:ext cx="2009775" cy="552450"/>
        </a:xfrm>
        <a:prstGeom prst="rect">
          <a:avLst/>
        </a:prstGeom>
        <a:noFill/>
        <a:ln w="9525" cmpd="sng">
          <a:noFill/>
        </a:ln>
      </xdr:spPr>
    </xdr:pic>
    <xdr:clientData/>
  </xdr:twoCellAnchor>
  <xdr:twoCellAnchor editAs="oneCell">
    <xdr:from>
      <xdr:col>1</xdr:col>
      <xdr:colOff>85725</xdr:colOff>
      <xdr:row>69</xdr:row>
      <xdr:rowOff>133350</xdr:rowOff>
    </xdr:from>
    <xdr:to>
      <xdr:col>2</xdr:col>
      <xdr:colOff>1781175</xdr:colOff>
      <xdr:row>72</xdr:row>
      <xdr:rowOff>85725</xdr:rowOff>
    </xdr:to>
    <xdr:pic>
      <xdr:nvPicPr>
        <xdr:cNvPr id="6" name="Picture 82" descr="Logo son"/>
        <xdr:cNvPicPr preferRelativeResize="1">
          <a:picLocks noChangeAspect="1"/>
        </xdr:cNvPicPr>
      </xdr:nvPicPr>
      <xdr:blipFill>
        <a:blip r:embed="rId1"/>
        <a:stretch>
          <a:fillRect/>
        </a:stretch>
      </xdr:blipFill>
      <xdr:spPr>
        <a:xfrm>
          <a:off x="285750" y="15821025"/>
          <a:ext cx="2009775" cy="552450"/>
        </a:xfrm>
        <a:prstGeom prst="rect">
          <a:avLst/>
        </a:prstGeom>
        <a:noFill/>
        <a:ln w="9525" cmpd="sng">
          <a:noFill/>
        </a:ln>
      </xdr:spPr>
    </xdr:pic>
    <xdr:clientData/>
  </xdr:twoCellAnchor>
  <xdr:twoCellAnchor editAs="oneCell">
    <xdr:from>
      <xdr:col>1</xdr:col>
      <xdr:colOff>85725</xdr:colOff>
      <xdr:row>84</xdr:row>
      <xdr:rowOff>133350</xdr:rowOff>
    </xdr:from>
    <xdr:to>
      <xdr:col>2</xdr:col>
      <xdr:colOff>1781175</xdr:colOff>
      <xdr:row>87</xdr:row>
      <xdr:rowOff>85725</xdr:rowOff>
    </xdr:to>
    <xdr:pic>
      <xdr:nvPicPr>
        <xdr:cNvPr id="7" name="Picture 82" descr="Logo son"/>
        <xdr:cNvPicPr preferRelativeResize="1">
          <a:picLocks noChangeAspect="1"/>
        </xdr:cNvPicPr>
      </xdr:nvPicPr>
      <xdr:blipFill>
        <a:blip r:embed="rId1"/>
        <a:stretch>
          <a:fillRect/>
        </a:stretch>
      </xdr:blipFill>
      <xdr:spPr>
        <a:xfrm>
          <a:off x="285750" y="19316700"/>
          <a:ext cx="2009775" cy="552450"/>
        </a:xfrm>
        <a:prstGeom prst="rect">
          <a:avLst/>
        </a:prstGeom>
        <a:noFill/>
        <a:ln w="9525" cmpd="sng">
          <a:noFill/>
        </a:ln>
      </xdr:spPr>
    </xdr:pic>
    <xdr:clientData/>
  </xdr:twoCellAnchor>
  <xdr:twoCellAnchor editAs="oneCell">
    <xdr:from>
      <xdr:col>1</xdr:col>
      <xdr:colOff>85725</xdr:colOff>
      <xdr:row>99</xdr:row>
      <xdr:rowOff>133350</xdr:rowOff>
    </xdr:from>
    <xdr:to>
      <xdr:col>2</xdr:col>
      <xdr:colOff>1781175</xdr:colOff>
      <xdr:row>102</xdr:row>
      <xdr:rowOff>85725</xdr:rowOff>
    </xdr:to>
    <xdr:pic>
      <xdr:nvPicPr>
        <xdr:cNvPr id="8" name="Picture 82" descr="Logo son"/>
        <xdr:cNvPicPr preferRelativeResize="1">
          <a:picLocks noChangeAspect="1"/>
        </xdr:cNvPicPr>
      </xdr:nvPicPr>
      <xdr:blipFill>
        <a:blip r:embed="rId1"/>
        <a:stretch>
          <a:fillRect/>
        </a:stretch>
      </xdr:blipFill>
      <xdr:spPr>
        <a:xfrm>
          <a:off x="285750" y="22812375"/>
          <a:ext cx="2009775" cy="552450"/>
        </a:xfrm>
        <a:prstGeom prst="rect">
          <a:avLst/>
        </a:prstGeom>
        <a:noFill/>
        <a:ln w="9525" cmpd="sng">
          <a:noFill/>
        </a:ln>
      </xdr:spPr>
    </xdr:pic>
    <xdr:clientData/>
  </xdr:twoCellAnchor>
  <xdr:twoCellAnchor editAs="oneCell">
    <xdr:from>
      <xdr:col>1</xdr:col>
      <xdr:colOff>85725</xdr:colOff>
      <xdr:row>114</xdr:row>
      <xdr:rowOff>133350</xdr:rowOff>
    </xdr:from>
    <xdr:to>
      <xdr:col>2</xdr:col>
      <xdr:colOff>1781175</xdr:colOff>
      <xdr:row>117</xdr:row>
      <xdr:rowOff>85725</xdr:rowOff>
    </xdr:to>
    <xdr:pic>
      <xdr:nvPicPr>
        <xdr:cNvPr id="9" name="Picture 82" descr="Logo son"/>
        <xdr:cNvPicPr preferRelativeResize="1">
          <a:picLocks noChangeAspect="1"/>
        </xdr:cNvPicPr>
      </xdr:nvPicPr>
      <xdr:blipFill>
        <a:blip r:embed="rId1"/>
        <a:stretch>
          <a:fillRect/>
        </a:stretch>
      </xdr:blipFill>
      <xdr:spPr>
        <a:xfrm>
          <a:off x="285750" y="26308050"/>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X193"/>
  <sheetViews>
    <sheetView tabSelected="1" zoomScale="60" zoomScaleNormal="60" zoomScalePageLayoutView="0" workbookViewId="0" topLeftCell="A1">
      <pane xSplit="18" ySplit="10" topLeftCell="S11" activePane="bottomRight" state="frozen"/>
      <selection pane="topLeft" activeCell="A1" sqref="A1"/>
      <selection pane="topRight" activeCell="J1" sqref="J1"/>
      <selection pane="bottomLeft" activeCell="A12" sqref="A12"/>
      <selection pane="bottomRight" activeCell="A4" sqref="A4:N5"/>
    </sheetView>
  </sheetViews>
  <sheetFormatPr defaultColWidth="65.7109375" defaultRowHeight="12.75"/>
  <cols>
    <col min="1" max="1" width="5.140625" style="11" customWidth="1"/>
    <col min="2" max="3" width="2.57421875" style="12" bestFit="1" customWidth="1"/>
    <col min="4" max="4" width="2.00390625" style="12" bestFit="1" customWidth="1"/>
    <col min="5" max="8" width="1.8515625" style="12" bestFit="1" customWidth="1"/>
    <col min="9" max="9" width="1.8515625" style="13" bestFit="1" customWidth="1"/>
    <col min="10" max="10" width="51.57421875" style="14" customWidth="1"/>
    <col min="11" max="11" width="26.8515625" style="14" bestFit="1" customWidth="1"/>
    <col min="12" max="12" width="18.28125" style="14" bestFit="1" customWidth="1"/>
    <col min="13" max="13" width="44.140625" style="14" customWidth="1"/>
    <col min="14" max="14" width="8.00390625" style="15" customWidth="1"/>
    <col min="15" max="15" width="20.421875" style="12" bestFit="1" customWidth="1"/>
    <col min="16" max="16" width="6.140625" style="15" bestFit="1" customWidth="1"/>
    <col min="17" max="17" width="8.7109375" style="16" customWidth="1"/>
    <col min="18" max="18" width="8.7109375" style="17" customWidth="1"/>
    <col min="19" max="19" width="11.57421875" style="16" customWidth="1"/>
    <col min="20" max="20" width="7.421875" style="17" bestFit="1" customWidth="1"/>
    <col min="21" max="21" width="11.57421875" style="16" customWidth="1"/>
    <col min="22" max="22" width="7.421875" style="17" bestFit="1" customWidth="1"/>
    <col min="23" max="23" width="11.57421875" style="18" customWidth="1"/>
    <col min="24" max="24" width="7.421875" style="19" bestFit="1" customWidth="1"/>
    <col min="25" max="25" width="15.8515625" style="44" customWidth="1"/>
    <col min="26" max="26" width="11.28125" style="45" customWidth="1"/>
    <col min="27" max="27" width="11.140625" style="20" bestFit="1" customWidth="1"/>
    <col min="28" max="28" width="8.28125" style="22" bestFit="1" customWidth="1"/>
    <col min="29" max="29" width="12.57421875" style="22" bestFit="1" customWidth="1"/>
    <col min="30" max="30" width="7.57421875" style="23" bestFit="1" customWidth="1"/>
    <col min="31" max="31" width="11.57421875" style="22" hidden="1" customWidth="1"/>
    <col min="32" max="32" width="9.00390625" style="92" hidden="1" customWidth="1"/>
    <col min="33" max="33" width="15.8515625" style="28" hidden="1" customWidth="1"/>
    <col min="34" max="34" width="11.28125" style="26" hidden="1" customWidth="1"/>
    <col min="35" max="36" width="6.57421875" style="30" hidden="1" customWidth="1"/>
    <col min="37" max="37" width="6.57421875" style="24" hidden="1" customWidth="1"/>
    <col min="38" max="38" width="8.28125" style="29" hidden="1" customWidth="1"/>
    <col min="39" max="39" width="11.57421875" style="16" hidden="1" customWidth="1"/>
    <col min="40" max="40" width="7.57421875" style="17" hidden="1" customWidth="1"/>
    <col min="41" max="41" width="12.57421875" style="16" bestFit="1" customWidth="1"/>
    <col min="42" max="42" width="9.00390625" style="14" bestFit="1" customWidth="1"/>
    <col min="43" max="43" width="9.8515625" style="14" customWidth="1"/>
    <col min="44" max="44" width="8.00390625" style="14" customWidth="1"/>
    <col min="45" max="45" width="6.140625" style="14" bestFit="1" customWidth="1"/>
    <col min="46" max="46" width="4.421875" style="14" bestFit="1" customWidth="1"/>
    <col min="47" max="16384" width="65.7109375" style="14" customWidth="1"/>
  </cols>
  <sheetData>
    <row r="1" spans="1:45" s="2" customFormat="1" ht="49.5">
      <c r="A1" s="899" t="s">
        <v>754</v>
      </c>
      <c r="B1" s="900"/>
      <c r="C1" s="900"/>
      <c r="D1" s="900"/>
      <c r="E1" s="900"/>
      <c r="F1" s="900"/>
      <c r="G1" s="900"/>
      <c r="H1" s="900"/>
      <c r="I1" s="900"/>
      <c r="J1" s="900"/>
      <c r="K1" s="900"/>
      <c r="L1" s="900"/>
      <c r="M1" s="900"/>
      <c r="N1" s="900"/>
      <c r="O1" s="900"/>
      <c r="P1" s="900"/>
      <c r="Q1" s="900"/>
      <c r="R1" s="900"/>
      <c r="S1" s="41"/>
      <c r="T1" s="43"/>
      <c r="U1" s="41"/>
      <c r="V1" s="43"/>
      <c r="W1" s="41"/>
      <c r="X1" s="886" t="s">
        <v>225</v>
      </c>
      <c r="Y1" s="887"/>
      <c r="Z1" s="887"/>
      <c r="AA1" s="887"/>
      <c r="AB1" s="887"/>
      <c r="AC1" s="887"/>
      <c r="AD1" s="887"/>
      <c r="AE1" s="887"/>
      <c r="AF1" s="887"/>
      <c r="AG1" s="887"/>
      <c r="AH1" s="887"/>
      <c r="AI1" s="887"/>
      <c r="AJ1" s="887"/>
      <c r="AK1" s="887"/>
      <c r="AL1" s="887"/>
      <c r="AM1" s="887"/>
      <c r="AN1" s="887"/>
      <c r="AO1" s="887"/>
      <c r="AP1" s="887"/>
      <c r="AQ1" s="888"/>
      <c r="AR1" s="888"/>
      <c r="AS1" s="888"/>
    </row>
    <row r="2" spans="1:45" s="2" customFormat="1" ht="26.25">
      <c r="A2" s="901" t="s">
        <v>226</v>
      </c>
      <c r="B2" s="902"/>
      <c r="C2" s="902"/>
      <c r="D2" s="902"/>
      <c r="E2" s="902"/>
      <c r="F2" s="902"/>
      <c r="G2" s="902"/>
      <c r="H2" s="902"/>
      <c r="I2" s="902"/>
      <c r="J2" s="902"/>
      <c r="K2" s="902"/>
      <c r="L2" s="902"/>
      <c r="M2" s="902"/>
      <c r="N2" s="902"/>
      <c r="O2" s="902"/>
      <c r="P2" s="902"/>
      <c r="Q2" s="902"/>
      <c r="R2" s="902"/>
      <c r="S2" s="42"/>
      <c r="V2" s="892"/>
      <c r="W2" s="883"/>
      <c r="X2" s="883"/>
      <c r="Y2" s="878"/>
      <c r="Z2" s="893"/>
      <c r="AA2" s="893"/>
      <c r="AB2" s="893"/>
      <c r="AC2" s="893"/>
      <c r="AD2" s="893"/>
      <c r="AE2" s="27"/>
      <c r="AF2" s="25"/>
      <c r="AG2" s="34"/>
      <c r="AH2" s="35"/>
      <c r="AI2" s="36"/>
      <c r="AJ2" s="36"/>
      <c r="AK2" s="35"/>
      <c r="AL2" s="34"/>
      <c r="AM2" s="103"/>
      <c r="AN2" s="103"/>
      <c r="AO2" s="876"/>
      <c r="AP2" s="876"/>
      <c r="AQ2" s="874"/>
      <c r="AR2" s="874"/>
      <c r="AS2" s="875"/>
    </row>
    <row r="3" spans="1:45" s="2" customFormat="1" ht="27" thickBot="1">
      <c r="A3" s="903" t="s">
        <v>46</v>
      </c>
      <c r="B3" s="904"/>
      <c r="C3" s="904"/>
      <c r="D3" s="904"/>
      <c r="E3" s="904"/>
      <c r="F3" s="904"/>
      <c r="G3" s="904"/>
      <c r="H3" s="904"/>
      <c r="I3" s="904"/>
      <c r="J3" s="904"/>
      <c r="K3" s="904"/>
      <c r="L3" s="904"/>
      <c r="M3" s="904"/>
      <c r="N3" s="904"/>
      <c r="O3" s="904"/>
      <c r="P3" s="904"/>
      <c r="Q3" s="904"/>
      <c r="R3" s="904"/>
      <c r="S3" s="69"/>
      <c r="V3" s="892"/>
      <c r="W3" s="875"/>
      <c r="X3" s="883"/>
      <c r="Y3" s="878"/>
      <c r="Z3" s="893"/>
      <c r="AA3" s="893"/>
      <c r="AB3" s="893"/>
      <c r="AC3" s="893"/>
      <c r="AD3" s="893"/>
      <c r="AE3" s="70"/>
      <c r="AF3" s="71"/>
      <c r="AG3" s="31"/>
      <c r="AH3" s="32"/>
      <c r="AI3" s="31"/>
      <c r="AJ3" s="31"/>
      <c r="AK3" s="33"/>
      <c r="AL3" s="31"/>
      <c r="AM3" s="103"/>
      <c r="AN3" s="103"/>
      <c r="AO3" s="876"/>
      <c r="AP3" s="876"/>
      <c r="AQ3" s="875"/>
      <c r="AR3" s="875"/>
      <c r="AS3" s="875"/>
    </row>
    <row r="4" spans="1:45" s="2" customFormat="1" ht="32.25">
      <c r="A4" s="889" t="s">
        <v>770</v>
      </c>
      <c r="B4" s="890"/>
      <c r="C4" s="890"/>
      <c r="D4" s="890"/>
      <c r="E4" s="890"/>
      <c r="F4" s="890"/>
      <c r="G4" s="890"/>
      <c r="H4" s="890"/>
      <c r="I4" s="890"/>
      <c r="J4" s="890"/>
      <c r="K4" s="890"/>
      <c r="L4" s="890"/>
      <c r="M4" s="890"/>
      <c r="N4" s="890"/>
      <c r="O4" s="72"/>
      <c r="P4" s="73"/>
      <c r="Q4" s="73"/>
      <c r="R4" s="73"/>
      <c r="S4" s="74"/>
      <c r="V4" s="892"/>
      <c r="W4" s="883"/>
      <c r="X4" s="883"/>
      <c r="Y4" s="878"/>
      <c r="Z4" s="879"/>
      <c r="AA4" s="879"/>
      <c r="AB4" s="879"/>
      <c r="AC4" s="879"/>
      <c r="AD4" s="879"/>
      <c r="AE4" s="75"/>
      <c r="AF4" s="76"/>
      <c r="AG4" s="880"/>
      <c r="AH4" s="881"/>
      <c r="AI4" s="881"/>
      <c r="AJ4" s="881"/>
      <c r="AK4" s="881"/>
      <c r="AL4" s="77"/>
      <c r="AM4" s="103"/>
      <c r="AN4" s="103"/>
      <c r="AO4" s="876"/>
      <c r="AP4" s="875"/>
      <c r="AQ4" s="874"/>
      <c r="AR4" s="874"/>
      <c r="AS4" s="875"/>
    </row>
    <row r="5" spans="1:45" s="2" customFormat="1" ht="33" thickBot="1">
      <c r="A5" s="891"/>
      <c r="B5" s="891"/>
      <c r="C5" s="891"/>
      <c r="D5" s="891"/>
      <c r="E5" s="891"/>
      <c r="F5" s="891"/>
      <c r="G5" s="891"/>
      <c r="H5" s="891"/>
      <c r="I5" s="891"/>
      <c r="J5" s="891"/>
      <c r="K5" s="891"/>
      <c r="L5" s="891"/>
      <c r="M5" s="891"/>
      <c r="N5" s="891"/>
      <c r="O5" s="72"/>
      <c r="P5" s="73"/>
      <c r="Q5" s="73"/>
      <c r="R5" s="73"/>
      <c r="S5" s="74"/>
      <c r="V5" s="892"/>
      <c r="W5" s="883"/>
      <c r="X5" s="883"/>
      <c r="Y5" s="878"/>
      <c r="Z5" s="879"/>
      <c r="AA5" s="879"/>
      <c r="AB5" s="879"/>
      <c r="AC5" s="879"/>
      <c r="AD5" s="879"/>
      <c r="AE5" s="75"/>
      <c r="AF5" s="76"/>
      <c r="AG5" s="37"/>
      <c r="AH5" s="78"/>
      <c r="AI5" s="78"/>
      <c r="AJ5" s="78"/>
      <c r="AK5" s="78"/>
      <c r="AL5" s="78"/>
      <c r="AM5" s="103"/>
      <c r="AN5" s="103"/>
      <c r="AO5" s="875"/>
      <c r="AP5" s="875"/>
      <c r="AQ5" s="875"/>
      <c r="AR5" s="875"/>
      <c r="AS5" s="875"/>
    </row>
    <row r="6" spans="1:45" s="5" customFormat="1" ht="15.75" thickBot="1">
      <c r="A6" s="38"/>
      <c r="B6" s="46"/>
      <c r="C6" s="46"/>
      <c r="D6" s="46"/>
      <c r="E6" s="46"/>
      <c r="F6" s="46"/>
      <c r="G6" s="46"/>
      <c r="H6" s="46"/>
      <c r="I6" s="46"/>
      <c r="J6" s="877" t="s">
        <v>227</v>
      </c>
      <c r="K6" s="877"/>
      <c r="L6" s="877"/>
      <c r="M6" s="877"/>
      <c r="N6" s="877"/>
      <c r="O6" s="877"/>
      <c r="P6" s="877"/>
      <c r="Q6" s="877" t="s">
        <v>228</v>
      </c>
      <c r="R6" s="877"/>
      <c r="S6" s="877" t="s">
        <v>229</v>
      </c>
      <c r="T6" s="877"/>
      <c r="U6" s="877"/>
      <c r="V6" s="877"/>
      <c r="W6" s="877"/>
      <c r="X6" s="877"/>
      <c r="Y6" s="877"/>
      <c r="Z6" s="877"/>
      <c r="AA6" s="877"/>
      <c r="AB6" s="877"/>
      <c r="AC6" s="877"/>
      <c r="AD6" s="877"/>
      <c r="AE6" s="877" t="s">
        <v>230</v>
      </c>
      <c r="AF6" s="877"/>
      <c r="AG6" s="877" t="s">
        <v>231</v>
      </c>
      <c r="AH6" s="877"/>
      <c r="AI6" s="877" t="s">
        <v>232</v>
      </c>
      <c r="AJ6" s="877"/>
      <c r="AK6" s="877" t="s">
        <v>233</v>
      </c>
      <c r="AL6" s="877"/>
      <c r="AM6" s="46"/>
      <c r="AN6" s="46"/>
      <c r="AO6" s="877" t="s">
        <v>234</v>
      </c>
      <c r="AP6" s="877"/>
      <c r="AQ6" s="877"/>
      <c r="AR6" s="908"/>
      <c r="AS6" s="909"/>
    </row>
    <row r="7" spans="1:45" s="6" customFormat="1" ht="12.75">
      <c r="A7" s="39"/>
      <c r="B7" s="47"/>
      <c r="C7" s="47"/>
      <c r="D7" s="47"/>
      <c r="E7" s="47"/>
      <c r="F7" s="47"/>
      <c r="G7" s="47"/>
      <c r="H7" s="47"/>
      <c r="I7" s="47"/>
      <c r="J7" s="48"/>
      <c r="K7" s="48"/>
      <c r="L7" s="48"/>
      <c r="M7" s="48"/>
      <c r="N7" s="49" t="s">
        <v>15</v>
      </c>
      <c r="O7" s="48"/>
      <c r="P7" s="48" t="s">
        <v>18</v>
      </c>
      <c r="Q7" s="48" t="s">
        <v>18</v>
      </c>
      <c r="R7" s="48" t="s">
        <v>20</v>
      </c>
      <c r="S7" s="872" t="s">
        <v>2</v>
      </c>
      <c r="T7" s="873"/>
      <c r="U7" s="872" t="s">
        <v>3</v>
      </c>
      <c r="V7" s="873"/>
      <c r="W7" s="872" t="s">
        <v>4</v>
      </c>
      <c r="X7" s="873"/>
      <c r="Y7" s="869" t="s">
        <v>11</v>
      </c>
      <c r="Z7" s="869"/>
      <c r="AA7" s="869" t="s">
        <v>30</v>
      </c>
      <c r="AB7" s="869"/>
      <c r="AC7" s="869" t="s">
        <v>0</v>
      </c>
      <c r="AD7" s="869"/>
      <c r="AE7" s="869"/>
      <c r="AF7" s="869"/>
      <c r="AG7" s="882"/>
      <c r="AH7" s="882"/>
      <c r="AI7" s="869" t="s">
        <v>41</v>
      </c>
      <c r="AJ7" s="869"/>
      <c r="AK7" s="869" t="s">
        <v>44</v>
      </c>
      <c r="AL7" s="869"/>
      <c r="AM7" s="869" t="s">
        <v>50</v>
      </c>
      <c r="AN7" s="869"/>
      <c r="AO7" s="869"/>
      <c r="AP7" s="869"/>
      <c r="AQ7" s="50" t="s">
        <v>30</v>
      </c>
      <c r="AR7" s="104" t="s">
        <v>297</v>
      </c>
      <c r="AS7" s="417" t="s">
        <v>297</v>
      </c>
    </row>
    <row r="8" spans="1:45" s="6" customFormat="1" ht="13.5" thickBot="1">
      <c r="A8" s="40"/>
      <c r="B8" s="862" t="s">
        <v>279</v>
      </c>
      <c r="C8" s="863"/>
      <c r="D8" s="863"/>
      <c r="E8" s="863"/>
      <c r="F8" s="863"/>
      <c r="G8" s="863"/>
      <c r="H8" s="863"/>
      <c r="I8" s="864"/>
      <c r="J8" s="51" t="s">
        <v>64</v>
      </c>
      <c r="K8" s="51" t="s">
        <v>76</v>
      </c>
      <c r="L8" s="51" t="s">
        <v>98</v>
      </c>
      <c r="M8" s="51" t="s">
        <v>62</v>
      </c>
      <c r="N8" s="52" t="s">
        <v>16</v>
      </c>
      <c r="O8" s="53" t="s">
        <v>1</v>
      </c>
      <c r="P8" s="53" t="s">
        <v>17</v>
      </c>
      <c r="Q8" s="53" t="s">
        <v>19</v>
      </c>
      <c r="R8" s="53" t="s">
        <v>15</v>
      </c>
      <c r="S8" s="54" t="s">
        <v>7</v>
      </c>
      <c r="T8" s="55" t="s">
        <v>6</v>
      </c>
      <c r="U8" s="54" t="s">
        <v>7</v>
      </c>
      <c r="V8" s="55" t="s">
        <v>6</v>
      </c>
      <c r="W8" s="54" t="s">
        <v>7</v>
      </c>
      <c r="X8" s="55" t="s">
        <v>6</v>
      </c>
      <c r="Y8" s="54" t="s">
        <v>7</v>
      </c>
      <c r="Z8" s="55" t="s">
        <v>6</v>
      </c>
      <c r="AA8" s="55" t="s">
        <v>42</v>
      </c>
      <c r="AB8" s="54" t="s">
        <v>31</v>
      </c>
      <c r="AC8" s="54" t="s">
        <v>7</v>
      </c>
      <c r="AD8" s="56" t="s">
        <v>5</v>
      </c>
      <c r="AE8" s="54" t="s">
        <v>7</v>
      </c>
      <c r="AF8" s="55" t="s">
        <v>6</v>
      </c>
      <c r="AG8" s="57" t="s">
        <v>7</v>
      </c>
      <c r="AH8" s="58" t="s">
        <v>6</v>
      </c>
      <c r="AI8" s="56" t="s">
        <v>6</v>
      </c>
      <c r="AJ8" s="56" t="s">
        <v>6</v>
      </c>
      <c r="AK8" s="55" t="s">
        <v>6</v>
      </c>
      <c r="AL8" s="54" t="s">
        <v>31</v>
      </c>
      <c r="AM8" s="54" t="s">
        <v>7</v>
      </c>
      <c r="AN8" s="56" t="s">
        <v>5</v>
      </c>
      <c r="AO8" s="54" t="s">
        <v>7</v>
      </c>
      <c r="AP8" s="55" t="s">
        <v>6</v>
      </c>
      <c r="AQ8" s="54" t="s">
        <v>31</v>
      </c>
      <c r="AR8" s="105" t="s">
        <v>301</v>
      </c>
      <c r="AS8" s="418" t="s">
        <v>298</v>
      </c>
    </row>
    <row r="9" spans="1:45" s="9" customFormat="1" ht="12.75">
      <c r="A9" s="79"/>
      <c r="B9" s="80"/>
      <c r="C9" s="80"/>
      <c r="D9" s="80"/>
      <c r="E9" s="80"/>
      <c r="F9" s="80"/>
      <c r="G9" s="80"/>
      <c r="H9" s="80"/>
      <c r="I9" s="80"/>
      <c r="J9" s="80"/>
      <c r="K9" s="80"/>
      <c r="L9" s="80"/>
      <c r="M9" s="80"/>
      <c r="N9" s="81" t="s">
        <v>22</v>
      </c>
      <c r="O9" s="80"/>
      <c r="P9" s="80" t="s">
        <v>25</v>
      </c>
      <c r="Q9" s="82" t="s">
        <v>27</v>
      </c>
      <c r="R9" s="82" t="s">
        <v>28</v>
      </c>
      <c r="S9" s="872" t="s">
        <v>32</v>
      </c>
      <c r="T9" s="873"/>
      <c r="U9" s="872" t="s">
        <v>33</v>
      </c>
      <c r="V9" s="873"/>
      <c r="W9" s="872" t="s">
        <v>34</v>
      </c>
      <c r="X9" s="873"/>
      <c r="Y9" s="870" t="s">
        <v>43</v>
      </c>
      <c r="Z9" s="870"/>
      <c r="AA9" s="870" t="s">
        <v>36</v>
      </c>
      <c r="AB9" s="870"/>
      <c r="AC9" s="870" t="s">
        <v>380</v>
      </c>
      <c r="AD9" s="870"/>
      <c r="AE9" s="83"/>
      <c r="AF9" s="84"/>
      <c r="AG9" s="85"/>
      <c r="AH9" s="86"/>
      <c r="AI9" s="870" t="s">
        <v>40</v>
      </c>
      <c r="AJ9" s="870"/>
      <c r="AK9" s="870" t="s">
        <v>45</v>
      </c>
      <c r="AL9" s="870"/>
      <c r="AM9" s="870" t="s">
        <v>51</v>
      </c>
      <c r="AN9" s="870"/>
      <c r="AO9" s="83"/>
      <c r="AP9" s="84"/>
      <c r="AQ9" s="87" t="s">
        <v>36</v>
      </c>
      <c r="AR9" s="106" t="s">
        <v>302</v>
      </c>
      <c r="AS9" s="419" t="s">
        <v>299</v>
      </c>
    </row>
    <row r="10" spans="1:45" s="9" customFormat="1" ht="13.5" thickBot="1">
      <c r="A10" s="88"/>
      <c r="B10" s="859" t="s">
        <v>278</v>
      </c>
      <c r="C10" s="860"/>
      <c r="D10" s="860"/>
      <c r="E10" s="860"/>
      <c r="F10" s="860"/>
      <c r="G10" s="860"/>
      <c r="H10" s="860"/>
      <c r="I10" s="861"/>
      <c r="J10" s="505" t="s">
        <v>61</v>
      </c>
      <c r="K10" s="505" t="s">
        <v>75</v>
      </c>
      <c r="L10" s="505" t="s">
        <v>78</v>
      </c>
      <c r="M10" s="505" t="s">
        <v>63</v>
      </c>
      <c r="N10" s="506" t="s">
        <v>23</v>
      </c>
      <c r="O10" s="480" t="s">
        <v>24</v>
      </c>
      <c r="P10" s="480" t="s">
        <v>26</v>
      </c>
      <c r="Q10" s="481" t="s">
        <v>26</v>
      </c>
      <c r="R10" s="481" t="s">
        <v>29</v>
      </c>
      <c r="S10" s="482" t="s">
        <v>38</v>
      </c>
      <c r="T10" s="483" t="s">
        <v>35</v>
      </c>
      <c r="U10" s="482" t="s">
        <v>38</v>
      </c>
      <c r="V10" s="483" t="s">
        <v>35</v>
      </c>
      <c r="W10" s="482" t="s">
        <v>38</v>
      </c>
      <c r="X10" s="483" t="s">
        <v>35</v>
      </c>
      <c r="Y10" s="484" t="s">
        <v>38</v>
      </c>
      <c r="Z10" s="485" t="s">
        <v>35</v>
      </c>
      <c r="AA10" s="485" t="s">
        <v>35</v>
      </c>
      <c r="AB10" s="484" t="s">
        <v>37</v>
      </c>
      <c r="AC10" s="482" t="s">
        <v>38</v>
      </c>
      <c r="AD10" s="486" t="s">
        <v>39</v>
      </c>
      <c r="AE10" s="484" t="s">
        <v>38</v>
      </c>
      <c r="AF10" s="485" t="s">
        <v>35</v>
      </c>
      <c r="AG10" s="487" t="s">
        <v>38</v>
      </c>
      <c r="AH10" s="488" t="s">
        <v>35</v>
      </c>
      <c r="AI10" s="486" t="s">
        <v>35</v>
      </c>
      <c r="AJ10" s="486" t="s">
        <v>35</v>
      </c>
      <c r="AK10" s="485" t="s">
        <v>35</v>
      </c>
      <c r="AL10" s="484" t="s">
        <v>37</v>
      </c>
      <c r="AM10" s="489" t="s">
        <v>38</v>
      </c>
      <c r="AN10" s="486" t="s">
        <v>39</v>
      </c>
      <c r="AO10" s="482" t="s">
        <v>38</v>
      </c>
      <c r="AP10" s="483" t="s">
        <v>37</v>
      </c>
      <c r="AQ10" s="484" t="s">
        <v>37</v>
      </c>
      <c r="AR10" s="490" t="s">
        <v>303</v>
      </c>
      <c r="AS10" s="491" t="s">
        <v>300</v>
      </c>
    </row>
    <row r="11" spans="1:46" s="10" customFormat="1" ht="15" customHeight="1">
      <c r="A11" s="368">
        <v>1</v>
      </c>
      <c r="B11" s="348"/>
      <c r="C11" s="349"/>
      <c r="D11" s="349"/>
      <c r="E11" s="349"/>
      <c r="F11" s="364">
        <v>2</v>
      </c>
      <c r="G11" s="349"/>
      <c r="H11" s="349"/>
      <c r="I11" s="353" t="s">
        <v>54</v>
      </c>
      <c r="J11" s="214" t="s">
        <v>718</v>
      </c>
      <c r="K11" s="65" t="s">
        <v>719</v>
      </c>
      <c r="L11" s="61"/>
      <c r="M11" s="66" t="s">
        <v>718</v>
      </c>
      <c r="N11" s="225">
        <v>40956</v>
      </c>
      <c r="O11" s="64" t="s">
        <v>68</v>
      </c>
      <c r="P11" s="280">
        <v>440</v>
      </c>
      <c r="Q11" s="220">
        <v>880</v>
      </c>
      <c r="R11" s="220">
        <v>2</v>
      </c>
      <c r="S11" s="799">
        <v>2101328.07</v>
      </c>
      <c r="T11" s="839">
        <v>234522</v>
      </c>
      <c r="U11" s="799">
        <v>3539530</v>
      </c>
      <c r="V11" s="839">
        <v>376513</v>
      </c>
      <c r="W11" s="799">
        <v>3263805.5</v>
      </c>
      <c r="X11" s="839">
        <v>348047</v>
      </c>
      <c r="Y11" s="857">
        <f aca="true" t="shared" si="0" ref="Y11:Y42">SUM(S11+U11+W11)</f>
        <v>8904663.57</v>
      </c>
      <c r="Z11" s="858">
        <f aca="true" t="shared" si="1" ref="Z11:Z42">T11+V11+X11</f>
        <v>959082</v>
      </c>
      <c r="AA11" s="785">
        <f aca="true" t="shared" si="2" ref="AA11:AA42">IF(Y11&lt;&gt;0,Z11/Q11,"")</f>
        <v>1089.865909090909</v>
      </c>
      <c r="AB11" s="786">
        <f aca="true" t="shared" si="3" ref="AB11:AB42">IF(Y11&lt;&gt;0,Y11/Z11,"")</f>
        <v>9.284569588418925</v>
      </c>
      <c r="AC11" s="787">
        <v>11064599.96</v>
      </c>
      <c r="AD11" s="788">
        <f>IF(AC11&lt;&gt;0,-(AC11-Y11)/AC11,"")</f>
        <v>-0.19521143085230896</v>
      </c>
      <c r="AE11" s="789">
        <f aca="true" t="shared" si="4" ref="AE11:AF14">AG11-Y11</f>
        <v>10544174.149999999</v>
      </c>
      <c r="AF11" s="790">
        <f t="shared" si="4"/>
        <v>1273959</v>
      </c>
      <c r="AG11" s="820">
        <v>19448837.72</v>
      </c>
      <c r="AH11" s="821">
        <v>2233041</v>
      </c>
      <c r="AI11" s="791">
        <f>Z11*1/AH11</f>
        <v>0.4294959205854259</v>
      </c>
      <c r="AJ11" s="791">
        <f>AF11*1/AH11</f>
        <v>0.5705040794145742</v>
      </c>
      <c r="AK11" s="790">
        <f>AH11/Q11</f>
        <v>2537.546590909091</v>
      </c>
      <c r="AL11" s="792">
        <f>AG11/AH11</f>
        <v>8.709574844349028</v>
      </c>
      <c r="AM11" s="793"/>
      <c r="AN11" s="791"/>
      <c r="AO11" s="218">
        <v>30317983.79</v>
      </c>
      <c r="AP11" s="819">
        <v>3434535</v>
      </c>
      <c r="AQ11" s="794">
        <f aca="true" t="shared" si="5" ref="AQ11:AQ42">AO11/AP11</f>
        <v>8.827391128638956</v>
      </c>
      <c r="AR11" s="316">
        <v>40963</v>
      </c>
      <c r="AS11" s="509">
        <v>1</v>
      </c>
      <c r="AT11" s="60"/>
    </row>
    <row r="12" spans="1:46" s="10" customFormat="1" ht="15" customHeight="1">
      <c r="A12" s="368" t="s">
        <v>470</v>
      </c>
      <c r="B12" s="348"/>
      <c r="C12" s="349"/>
      <c r="D12" s="349"/>
      <c r="E12" s="359"/>
      <c r="F12" s="364">
        <v>2</v>
      </c>
      <c r="G12" s="362"/>
      <c r="H12" s="349"/>
      <c r="I12" s="357"/>
      <c r="J12" s="207" t="s">
        <v>720</v>
      </c>
      <c r="K12" s="66" t="s">
        <v>440</v>
      </c>
      <c r="L12" s="61" t="s">
        <v>189</v>
      </c>
      <c r="M12" s="66" t="s">
        <v>721</v>
      </c>
      <c r="N12" s="226">
        <v>40956</v>
      </c>
      <c r="O12" s="64" t="s">
        <v>8</v>
      </c>
      <c r="P12" s="280">
        <v>160</v>
      </c>
      <c r="Q12" s="217">
        <v>160</v>
      </c>
      <c r="R12" s="217">
        <v>2</v>
      </c>
      <c r="S12" s="840">
        <v>115269</v>
      </c>
      <c r="T12" s="841">
        <v>10257</v>
      </c>
      <c r="U12" s="840">
        <v>268866</v>
      </c>
      <c r="V12" s="841">
        <v>23862</v>
      </c>
      <c r="W12" s="840">
        <v>245179</v>
      </c>
      <c r="X12" s="841">
        <v>21989</v>
      </c>
      <c r="Y12" s="857">
        <f t="shared" si="0"/>
        <v>629314</v>
      </c>
      <c r="Z12" s="858">
        <f t="shared" si="1"/>
        <v>56108</v>
      </c>
      <c r="AA12" s="785">
        <f t="shared" si="2"/>
        <v>350.675</v>
      </c>
      <c r="AB12" s="786">
        <f t="shared" si="3"/>
        <v>11.216118913523918</v>
      </c>
      <c r="AC12" s="787">
        <v>1040002</v>
      </c>
      <c r="AD12" s="788">
        <f>IF(AC12&lt;&gt;0,-(AC12-Y12)/AC12,"")</f>
        <v>-0.39489154828548406</v>
      </c>
      <c r="AE12" s="789">
        <f t="shared" si="4"/>
        <v>946173</v>
      </c>
      <c r="AF12" s="790">
        <f t="shared" si="4"/>
        <v>92369</v>
      </c>
      <c r="AG12" s="822">
        <v>1575487</v>
      </c>
      <c r="AH12" s="823">
        <v>148477</v>
      </c>
      <c r="AI12" s="791">
        <f>Z12*1/AH12</f>
        <v>0.37789017827677013</v>
      </c>
      <c r="AJ12" s="791">
        <f>AF12*1/AH12</f>
        <v>0.6221098217232298</v>
      </c>
      <c r="AK12" s="790">
        <f>AH12/Q12</f>
        <v>927.98125</v>
      </c>
      <c r="AL12" s="792">
        <f>AG12/AH12</f>
        <v>10.61098351933296</v>
      </c>
      <c r="AM12" s="793"/>
      <c r="AN12" s="791"/>
      <c r="AO12" s="814">
        <v>2204800</v>
      </c>
      <c r="AP12" s="817">
        <v>204585</v>
      </c>
      <c r="AQ12" s="794">
        <f t="shared" si="5"/>
        <v>10.776938680743944</v>
      </c>
      <c r="AR12" s="316">
        <v>40963</v>
      </c>
      <c r="AS12" s="509" t="s">
        <v>470</v>
      </c>
      <c r="AT12" s="60"/>
    </row>
    <row r="13" spans="1:46" s="10" customFormat="1" ht="15" customHeight="1">
      <c r="A13" s="368" t="s">
        <v>471</v>
      </c>
      <c r="B13" s="349"/>
      <c r="C13" s="349"/>
      <c r="D13" s="349"/>
      <c r="E13" s="349"/>
      <c r="F13" s="349"/>
      <c r="G13" s="349"/>
      <c r="H13" s="350"/>
      <c r="I13" s="353" t="s">
        <v>54</v>
      </c>
      <c r="J13" s="207" t="s">
        <v>566</v>
      </c>
      <c r="K13" s="61" t="s">
        <v>348</v>
      </c>
      <c r="L13" s="66"/>
      <c r="M13" s="66" t="s">
        <v>566</v>
      </c>
      <c r="N13" s="226">
        <v>40935</v>
      </c>
      <c r="O13" s="64" t="s">
        <v>12</v>
      </c>
      <c r="P13" s="272">
        <v>352</v>
      </c>
      <c r="Q13" s="795">
        <v>317</v>
      </c>
      <c r="R13" s="795">
        <v>5</v>
      </c>
      <c r="S13" s="805">
        <v>84318</v>
      </c>
      <c r="T13" s="806">
        <v>9260</v>
      </c>
      <c r="U13" s="805">
        <v>222399</v>
      </c>
      <c r="V13" s="806">
        <v>24043</v>
      </c>
      <c r="W13" s="805">
        <v>213557</v>
      </c>
      <c r="X13" s="806">
        <v>23837</v>
      </c>
      <c r="Y13" s="857">
        <f t="shared" si="0"/>
        <v>520274</v>
      </c>
      <c r="Z13" s="858">
        <f t="shared" si="1"/>
        <v>57140</v>
      </c>
      <c r="AA13" s="785">
        <f t="shared" si="2"/>
        <v>180.25236593059938</v>
      </c>
      <c r="AB13" s="786">
        <f t="shared" si="3"/>
        <v>9.105250262513126</v>
      </c>
      <c r="AC13" s="796">
        <v>812629</v>
      </c>
      <c r="AD13" s="788">
        <f>IF(AC13&lt;&gt;0,-(AC13-Y13)/AC13,"")</f>
        <v>-0.359764418941485</v>
      </c>
      <c r="AE13" s="789">
        <f t="shared" si="4"/>
        <v>671900</v>
      </c>
      <c r="AF13" s="790">
        <f t="shared" si="4"/>
        <v>77120</v>
      </c>
      <c r="AG13" s="793">
        <v>1192174</v>
      </c>
      <c r="AH13" s="824">
        <v>134260</v>
      </c>
      <c r="AI13" s="791">
        <f>Z13*1/AH13</f>
        <v>0.42559213466408463</v>
      </c>
      <c r="AJ13" s="791">
        <f>AF13*1/AH13</f>
        <v>0.5744078653359154</v>
      </c>
      <c r="AK13" s="790">
        <f>AH13/Q13</f>
        <v>423.5331230283912</v>
      </c>
      <c r="AL13" s="792">
        <f>AG13/AH13</f>
        <v>8.879591836734694</v>
      </c>
      <c r="AM13" s="797">
        <v>2549122</v>
      </c>
      <c r="AN13" s="791">
        <f>IF(AM13&lt;&gt;0,-(AM13-AG13)/AM13,"")</f>
        <v>-0.5323197555864333</v>
      </c>
      <c r="AO13" s="815">
        <v>17474752</v>
      </c>
      <c r="AP13" s="818">
        <v>1882117</v>
      </c>
      <c r="AQ13" s="794">
        <f t="shared" si="5"/>
        <v>9.284625769811335</v>
      </c>
      <c r="AR13" s="316">
        <v>40963</v>
      </c>
      <c r="AS13" s="509" t="s">
        <v>471</v>
      </c>
      <c r="AT13" s="60"/>
    </row>
    <row r="14" spans="1:46" s="10" customFormat="1" ht="15" customHeight="1">
      <c r="A14" s="368" t="s">
        <v>472</v>
      </c>
      <c r="B14" s="369"/>
      <c r="C14" s="349"/>
      <c r="D14" s="361" t="s">
        <v>223</v>
      </c>
      <c r="E14" s="349"/>
      <c r="F14" s="349"/>
      <c r="G14" s="349"/>
      <c r="H14" s="350"/>
      <c r="I14" s="350"/>
      <c r="J14" s="207" t="s">
        <v>716</v>
      </c>
      <c r="K14" s="61" t="s">
        <v>92</v>
      </c>
      <c r="L14" s="66" t="s">
        <v>94</v>
      </c>
      <c r="M14" s="66" t="s">
        <v>717</v>
      </c>
      <c r="N14" s="226">
        <v>40956</v>
      </c>
      <c r="O14" s="64" t="s">
        <v>12</v>
      </c>
      <c r="P14" s="272">
        <v>90</v>
      </c>
      <c r="Q14" s="795">
        <v>90</v>
      </c>
      <c r="R14" s="795">
        <v>2</v>
      </c>
      <c r="S14" s="805">
        <v>69677</v>
      </c>
      <c r="T14" s="806">
        <v>6341</v>
      </c>
      <c r="U14" s="805">
        <v>212743</v>
      </c>
      <c r="V14" s="806">
        <v>18423</v>
      </c>
      <c r="W14" s="805">
        <v>177939</v>
      </c>
      <c r="X14" s="806">
        <v>15536</v>
      </c>
      <c r="Y14" s="857">
        <f t="shared" si="0"/>
        <v>460359</v>
      </c>
      <c r="Z14" s="858">
        <f t="shared" si="1"/>
        <v>40300</v>
      </c>
      <c r="AA14" s="785">
        <f t="shared" si="2"/>
        <v>447.77777777777777</v>
      </c>
      <c r="AB14" s="786">
        <f t="shared" si="3"/>
        <v>11.423300248138958</v>
      </c>
      <c r="AC14" s="796">
        <v>586462</v>
      </c>
      <c r="AD14" s="788">
        <f>IF(AC14&lt;&gt;0,-(AC14-Y14)/AC14,"")</f>
        <v>-0.21502330926811966</v>
      </c>
      <c r="AE14" s="789">
        <f t="shared" si="4"/>
        <v>289064</v>
      </c>
      <c r="AF14" s="790">
        <f t="shared" si="4"/>
        <v>28258</v>
      </c>
      <c r="AG14" s="825">
        <v>749423</v>
      </c>
      <c r="AH14" s="826">
        <v>68558</v>
      </c>
      <c r="AI14" s="791">
        <f>Z14*1/AH14</f>
        <v>0.5878234487587153</v>
      </c>
      <c r="AJ14" s="791">
        <f>AF14*1/AH14</f>
        <v>0.41217655124128477</v>
      </c>
      <c r="AK14" s="790">
        <f>AH14/Q14</f>
        <v>761.7555555555556</v>
      </c>
      <c r="AL14" s="792">
        <f>AG14/AH14</f>
        <v>10.93122611511421</v>
      </c>
      <c r="AM14" s="797"/>
      <c r="AN14" s="791"/>
      <c r="AO14" s="815">
        <v>1210145</v>
      </c>
      <c r="AP14" s="818">
        <v>108858</v>
      </c>
      <c r="AQ14" s="794">
        <f t="shared" si="5"/>
        <v>11.116730051994342</v>
      </c>
      <c r="AR14" s="316">
        <v>40963</v>
      </c>
      <c r="AS14" s="509" t="s">
        <v>472</v>
      </c>
      <c r="AT14" s="60"/>
    </row>
    <row r="15" spans="1:46" s="10" customFormat="1" ht="15" customHeight="1">
      <c r="A15" s="368" t="s">
        <v>473</v>
      </c>
      <c r="B15" s="782" t="s">
        <v>56</v>
      </c>
      <c r="C15" s="349"/>
      <c r="D15" s="349"/>
      <c r="E15" s="349"/>
      <c r="F15" s="349"/>
      <c r="G15" s="349"/>
      <c r="H15" s="349"/>
      <c r="I15" s="349"/>
      <c r="J15" s="214" t="s">
        <v>767</v>
      </c>
      <c r="K15" s="65" t="s">
        <v>126</v>
      </c>
      <c r="L15" s="61" t="s">
        <v>89</v>
      </c>
      <c r="M15" s="66" t="s">
        <v>768</v>
      </c>
      <c r="N15" s="225">
        <v>40963</v>
      </c>
      <c r="O15" s="64" t="s">
        <v>68</v>
      </c>
      <c r="P15" s="280">
        <v>40</v>
      </c>
      <c r="Q15" s="220">
        <v>40</v>
      </c>
      <c r="R15" s="220">
        <v>1</v>
      </c>
      <c r="S15" s="799">
        <v>79720</v>
      </c>
      <c r="T15" s="839">
        <v>5674</v>
      </c>
      <c r="U15" s="799">
        <v>132306.5</v>
      </c>
      <c r="V15" s="839">
        <v>9386</v>
      </c>
      <c r="W15" s="799">
        <v>110456</v>
      </c>
      <c r="X15" s="839">
        <v>7925</v>
      </c>
      <c r="Y15" s="857">
        <f t="shared" si="0"/>
        <v>322482.5</v>
      </c>
      <c r="Z15" s="858">
        <f t="shared" si="1"/>
        <v>22985</v>
      </c>
      <c r="AA15" s="785">
        <f t="shared" si="2"/>
        <v>574.625</v>
      </c>
      <c r="AB15" s="786">
        <f t="shared" si="3"/>
        <v>14.030128344572548</v>
      </c>
      <c r="AC15" s="787"/>
      <c r="AD15" s="788">
        <f aca="true" t="shared" si="6" ref="AD15:AD53">IF(AC15&lt;&gt;0,-(AC15-Y15)/AC15,"")</f>
      </c>
      <c r="AE15" s="789"/>
      <c r="AF15" s="790"/>
      <c r="AG15" s="820"/>
      <c r="AH15" s="821"/>
      <c r="AI15" s="791"/>
      <c r="AJ15" s="791"/>
      <c r="AK15" s="790"/>
      <c r="AL15" s="792"/>
      <c r="AM15" s="793"/>
      <c r="AN15" s="791"/>
      <c r="AO15" s="218">
        <v>322482.5</v>
      </c>
      <c r="AP15" s="819">
        <v>22985</v>
      </c>
      <c r="AQ15" s="794">
        <f t="shared" si="5"/>
        <v>14.030128344572548</v>
      </c>
      <c r="AR15" s="316">
        <v>40963</v>
      </c>
      <c r="AS15" s="509" t="s">
        <v>349</v>
      </c>
      <c r="AT15" s="60"/>
    </row>
    <row r="16" spans="1:46" s="10" customFormat="1" ht="15" customHeight="1">
      <c r="A16" s="368" t="s">
        <v>474</v>
      </c>
      <c r="B16" s="344"/>
      <c r="C16" s="349"/>
      <c r="D16" s="349"/>
      <c r="E16" s="349"/>
      <c r="F16" s="349"/>
      <c r="G16" s="349"/>
      <c r="H16" s="350"/>
      <c r="I16" s="350"/>
      <c r="J16" s="211" t="s">
        <v>672</v>
      </c>
      <c r="K16" s="61" t="s">
        <v>676</v>
      </c>
      <c r="L16" s="68" t="s">
        <v>94</v>
      </c>
      <c r="M16" s="63" t="s">
        <v>674</v>
      </c>
      <c r="N16" s="226">
        <v>40949</v>
      </c>
      <c r="O16" s="64" t="s">
        <v>12</v>
      </c>
      <c r="P16" s="263">
        <v>73</v>
      </c>
      <c r="Q16" s="795">
        <v>73</v>
      </c>
      <c r="R16" s="795">
        <v>3</v>
      </c>
      <c r="S16" s="805">
        <v>22816</v>
      </c>
      <c r="T16" s="806">
        <v>1929</v>
      </c>
      <c r="U16" s="805">
        <v>46271</v>
      </c>
      <c r="V16" s="806">
        <v>4150</v>
      </c>
      <c r="W16" s="805">
        <v>34832</v>
      </c>
      <c r="X16" s="806">
        <v>3093</v>
      </c>
      <c r="Y16" s="857">
        <f t="shared" si="0"/>
        <v>103919</v>
      </c>
      <c r="Z16" s="858">
        <f t="shared" si="1"/>
        <v>9172</v>
      </c>
      <c r="AA16" s="785">
        <f t="shared" si="2"/>
        <v>125.64383561643835</v>
      </c>
      <c r="AB16" s="786">
        <f t="shared" si="3"/>
        <v>11.330026166593981</v>
      </c>
      <c r="AC16" s="787">
        <v>162918</v>
      </c>
      <c r="AD16" s="788">
        <f t="shared" si="6"/>
        <v>-0.36213923568911965</v>
      </c>
      <c r="AE16" s="789">
        <f>AG16-Y16</f>
        <v>148906</v>
      </c>
      <c r="AF16" s="790">
        <f>AH16-Z16</f>
        <v>13277</v>
      </c>
      <c r="AG16" s="793">
        <v>252825</v>
      </c>
      <c r="AH16" s="824">
        <v>22449</v>
      </c>
      <c r="AI16" s="791">
        <f>Z16*1/AH16</f>
        <v>0.4085705376631476</v>
      </c>
      <c r="AJ16" s="791">
        <f>AF16*1/AH16</f>
        <v>0.5914294623368525</v>
      </c>
      <c r="AK16" s="790">
        <f>AH16/Q16</f>
        <v>307.52054794520546</v>
      </c>
      <c r="AL16" s="792">
        <f>AG16/AH16</f>
        <v>11.262194307096085</v>
      </c>
      <c r="AM16" s="797">
        <v>462150</v>
      </c>
      <c r="AN16" s="791"/>
      <c r="AO16" s="815">
        <v>819046</v>
      </c>
      <c r="AP16" s="818">
        <v>73220</v>
      </c>
      <c r="AQ16" s="794">
        <f t="shared" si="5"/>
        <v>11.186096694892106</v>
      </c>
      <c r="AR16" s="316">
        <v>40963</v>
      </c>
      <c r="AS16" s="509" t="s">
        <v>474</v>
      </c>
      <c r="AT16" s="410"/>
    </row>
    <row r="17" spans="1:46" s="10" customFormat="1" ht="15" customHeight="1">
      <c r="A17" s="368" t="s">
        <v>475</v>
      </c>
      <c r="B17" s="369"/>
      <c r="C17" s="349"/>
      <c r="D17" s="370"/>
      <c r="E17" s="370"/>
      <c r="F17" s="370"/>
      <c r="G17" s="370"/>
      <c r="H17" s="370"/>
      <c r="I17" s="351"/>
      <c r="J17" s="215" t="s">
        <v>679</v>
      </c>
      <c r="K17" s="61" t="s">
        <v>680</v>
      </c>
      <c r="L17" s="62" t="s">
        <v>95</v>
      </c>
      <c r="M17" s="64" t="s">
        <v>681</v>
      </c>
      <c r="N17" s="225">
        <v>40949</v>
      </c>
      <c r="O17" s="64" t="s">
        <v>10</v>
      </c>
      <c r="P17" s="284">
        <v>65</v>
      </c>
      <c r="Q17" s="221">
        <v>51</v>
      </c>
      <c r="R17" s="221">
        <v>3</v>
      </c>
      <c r="S17" s="842">
        <v>14174</v>
      </c>
      <c r="T17" s="843">
        <v>1295</v>
      </c>
      <c r="U17" s="842">
        <v>29800</v>
      </c>
      <c r="V17" s="843">
        <v>2663</v>
      </c>
      <c r="W17" s="842">
        <v>23203</v>
      </c>
      <c r="X17" s="843">
        <v>2147</v>
      </c>
      <c r="Y17" s="857">
        <f t="shared" si="0"/>
        <v>67177</v>
      </c>
      <c r="Z17" s="858">
        <f t="shared" si="1"/>
        <v>6105</v>
      </c>
      <c r="AA17" s="785">
        <f t="shared" si="2"/>
        <v>119.70588235294117</v>
      </c>
      <c r="AB17" s="786">
        <f t="shared" si="3"/>
        <v>11.003603603603604</v>
      </c>
      <c r="AC17" s="787">
        <v>170624</v>
      </c>
      <c r="AD17" s="788">
        <f t="shared" si="6"/>
        <v>-0.6062863372093024</v>
      </c>
      <c r="AE17" s="789">
        <f>AG17-Y17</f>
        <v>191767</v>
      </c>
      <c r="AF17" s="790">
        <f>AH17-Z17</f>
        <v>17768</v>
      </c>
      <c r="AG17" s="827">
        <v>258944</v>
      </c>
      <c r="AH17" s="828">
        <v>23873</v>
      </c>
      <c r="AI17" s="791">
        <f>Z17*1/AH17</f>
        <v>0.25572822854270516</v>
      </c>
      <c r="AJ17" s="791">
        <f>AF17*1/AH17</f>
        <v>0.7442717714572948</v>
      </c>
      <c r="AK17" s="790">
        <f>AH17/Q17</f>
        <v>468.0980392156863</v>
      </c>
      <c r="AL17" s="792">
        <f>AG17/AH17</f>
        <v>10.846730616177272</v>
      </c>
      <c r="AM17" s="793">
        <v>522502</v>
      </c>
      <c r="AN17" s="791"/>
      <c r="AO17" s="394">
        <v>848623</v>
      </c>
      <c r="AP17" s="395">
        <v>77946</v>
      </c>
      <c r="AQ17" s="794">
        <f t="shared" si="5"/>
        <v>10.88731942626947</v>
      </c>
      <c r="AR17" s="316">
        <v>40963</v>
      </c>
      <c r="AS17" s="509" t="s">
        <v>473</v>
      </c>
      <c r="AT17" s="410"/>
    </row>
    <row r="18" spans="1:46" s="10" customFormat="1" ht="15" customHeight="1">
      <c r="A18" s="368" t="s">
        <v>476</v>
      </c>
      <c r="B18" s="348"/>
      <c r="C18" s="352" t="s">
        <v>261</v>
      </c>
      <c r="D18" s="349"/>
      <c r="E18" s="356">
        <v>3</v>
      </c>
      <c r="F18" s="364">
        <v>2</v>
      </c>
      <c r="G18" s="362"/>
      <c r="H18" s="349"/>
      <c r="I18" s="357"/>
      <c r="J18" s="207" t="s">
        <v>766</v>
      </c>
      <c r="K18" s="66" t="s">
        <v>342</v>
      </c>
      <c r="L18" s="61" t="s">
        <v>189</v>
      </c>
      <c r="M18" s="66" t="s">
        <v>765</v>
      </c>
      <c r="N18" s="226">
        <v>40586</v>
      </c>
      <c r="O18" s="64" t="s">
        <v>8</v>
      </c>
      <c r="P18" s="280">
        <v>90</v>
      </c>
      <c r="Q18" s="217">
        <v>37</v>
      </c>
      <c r="R18" s="217">
        <v>5</v>
      </c>
      <c r="S18" s="840">
        <v>6722</v>
      </c>
      <c r="T18" s="841">
        <v>479</v>
      </c>
      <c r="U18" s="840">
        <v>22568</v>
      </c>
      <c r="V18" s="841">
        <v>1430</v>
      </c>
      <c r="W18" s="840">
        <v>19196</v>
      </c>
      <c r="X18" s="841">
        <v>1335</v>
      </c>
      <c r="Y18" s="857">
        <f t="shared" si="0"/>
        <v>48486</v>
      </c>
      <c r="Z18" s="858">
        <f t="shared" si="1"/>
        <v>3244</v>
      </c>
      <c r="AA18" s="785">
        <f t="shared" si="2"/>
        <v>87.67567567567568</v>
      </c>
      <c r="AB18" s="786">
        <f t="shared" si="3"/>
        <v>14.946362515413071</v>
      </c>
      <c r="AC18" s="787"/>
      <c r="AD18" s="788">
        <f t="shared" si="6"/>
      </c>
      <c r="AE18" s="789"/>
      <c r="AF18" s="790"/>
      <c r="AG18" s="822"/>
      <c r="AH18" s="823"/>
      <c r="AI18" s="791"/>
      <c r="AJ18" s="791"/>
      <c r="AK18" s="790"/>
      <c r="AL18" s="792"/>
      <c r="AM18" s="793"/>
      <c r="AN18" s="791"/>
      <c r="AO18" s="814">
        <v>1246101</v>
      </c>
      <c r="AP18" s="817">
        <v>98809</v>
      </c>
      <c r="AQ18" s="794">
        <f t="shared" si="5"/>
        <v>12.611209505207016</v>
      </c>
      <c r="AR18" s="316">
        <v>40963</v>
      </c>
      <c r="AS18" s="509" t="s">
        <v>349</v>
      </c>
      <c r="AT18" s="410"/>
    </row>
    <row r="19" spans="1:46" s="10" customFormat="1" ht="15" customHeight="1">
      <c r="A19" s="368" t="s">
        <v>477</v>
      </c>
      <c r="B19" s="344"/>
      <c r="C19" s="349"/>
      <c r="D19" s="369"/>
      <c r="E19" s="369"/>
      <c r="F19" s="369"/>
      <c r="G19" s="369"/>
      <c r="H19" s="350"/>
      <c r="I19" s="363"/>
      <c r="J19" s="214" t="s">
        <v>671</v>
      </c>
      <c r="K19" s="65" t="s">
        <v>677</v>
      </c>
      <c r="L19" s="65" t="s">
        <v>128</v>
      </c>
      <c r="M19" s="66" t="s">
        <v>678</v>
      </c>
      <c r="N19" s="225">
        <v>40949</v>
      </c>
      <c r="O19" s="64" t="s">
        <v>68</v>
      </c>
      <c r="P19" s="263">
        <v>30</v>
      </c>
      <c r="Q19" s="220">
        <v>27</v>
      </c>
      <c r="R19" s="220">
        <v>3</v>
      </c>
      <c r="S19" s="799">
        <v>7751</v>
      </c>
      <c r="T19" s="839">
        <v>532</v>
      </c>
      <c r="U19" s="799">
        <v>15458</v>
      </c>
      <c r="V19" s="839">
        <v>1090</v>
      </c>
      <c r="W19" s="799">
        <v>12479.5</v>
      </c>
      <c r="X19" s="839">
        <v>882</v>
      </c>
      <c r="Y19" s="857">
        <f t="shared" si="0"/>
        <v>35688.5</v>
      </c>
      <c r="Z19" s="858">
        <f t="shared" si="1"/>
        <v>2504</v>
      </c>
      <c r="AA19" s="785">
        <f t="shared" si="2"/>
        <v>92.74074074074075</v>
      </c>
      <c r="AB19" s="786">
        <f t="shared" si="3"/>
        <v>14.252595846645367</v>
      </c>
      <c r="AC19" s="787">
        <v>82063</v>
      </c>
      <c r="AD19" s="788">
        <f t="shared" si="6"/>
        <v>-0.5651085141903172</v>
      </c>
      <c r="AE19" s="789">
        <f aca="true" t="shared" si="7" ref="AE19:AE53">AG19-Y19</f>
        <v>88282.75</v>
      </c>
      <c r="AF19" s="790">
        <f aca="true" t="shared" si="8" ref="AF19:AF53">AH19-Z19</f>
        <v>6860</v>
      </c>
      <c r="AG19" s="797">
        <v>123971.25</v>
      </c>
      <c r="AH19" s="829">
        <v>9364</v>
      </c>
      <c r="AI19" s="791">
        <f aca="true" t="shared" si="9" ref="AI19:AI53">Z19*1/AH19</f>
        <v>0.2674070909867578</v>
      </c>
      <c r="AJ19" s="791">
        <f aca="true" t="shared" si="10" ref="AJ19:AJ53">AF19*1/AH19</f>
        <v>0.7325929090132423</v>
      </c>
      <c r="AK19" s="790">
        <f aca="true" t="shared" si="11" ref="AK19:AK53">AH19/Q19</f>
        <v>346.81481481481484</v>
      </c>
      <c r="AL19" s="792">
        <f aca="true" t="shared" si="12" ref="AL19:AL53">AG19/AH19</f>
        <v>13.239133917129433</v>
      </c>
      <c r="AM19" s="793">
        <v>252789.19</v>
      </c>
      <c r="AN19" s="791"/>
      <c r="AO19" s="218">
        <v>412448.94</v>
      </c>
      <c r="AP19" s="819">
        <v>31172</v>
      </c>
      <c r="AQ19" s="794">
        <f t="shared" si="5"/>
        <v>13.231391633517259</v>
      </c>
      <c r="AR19" s="316">
        <v>40963</v>
      </c>
      <c r="AS19" s="509" t="s">
        <v>476</v>
      </c>
      <c r="AT19" s="60"/>
    </row>
    <row r="20" spans="1:46" s="10" customFormat="1" ht="15" customHeight="1">
      <c r="A20" s="368" t="s">
        <v>478</v>
      </c>
      <c r="B20" s="349"/>
      <c r="C20" s="349"/>
      <c r="D20" s="361" t="s">
        <v>223</v>
      </c>
      <c r="E20" s="356">
        <v>3</v>
      </c>
      <c r="F20" s="349"/>
      <c r="G20" s="360" t="s">
        <v>292</v>
      </c>
      <c r="H20" s="354" t="s">
        <v>55</v>
      </c>
      <c r="I20" s="351"/>
      <c r="J20" s="215" t="s">
        <v>430</v>
      </c>
      <c r="K20" s="61" t="s">
        <v>432</v>
      </c>
      <c r="L20" s="62" t="s">
        <v>95</v>
      </c>
      <c r="M20" s="64" t="s">
        <v>431</v>
      </c>
      <c r="N20" s="225">
        <v>40928</v>
      </c>
      <c r="O20" s="64" t="s">
        <v>10</v>
      </c>
      <c r="P20" s="263">
        <v>202</v>
      </c>
      <c r="Q20" s="221">
        <v>45</v>
      </c>
      <c r="R20" s="221">
        <v>6</v>
      </c>
      <c r="S20" s="842">
        <v>4402</v>
      </c>
      <c r="T20" s="843">
        <v>539</v>
      </c>
      <c r="U20" s="842">
        <v>12535</v>
      </c>
      <c r="V20" s="843">
        <v>1553</v>
      </c>
      <c r="W20" s="842">
        <v>14645</v>
      </c>
      <c r="X20" s="843">
        <v>1783</v>
      </c>
      <c r="Y20" s="857">
        <f t="shared" si="0"/>
        <v>31582</v>
      </c>
      <c r="Z20" s="858">
        <f t="shared" si="1"/>
        <v>3875</v>
      </c>
      <c r="AA20" s="785">
        <f t="shared" si="2"/>
        <v>86.11111111111111</v>
      </c>
      <c r="AB20" s="786">
        <f t="shared" si="3"/>
        <v>8.150193548387097</v>
      </c>
      <c r="AC20" s="787">
        <v>43445</v>
      </c>
      <c r="AD20" s="788">
        <f t="shared" si="6"/>
        <v>-0.2730578892853033</v>
      </c>
      <c r="AE20" s="789">
        <f t="shared" si="7"/>
        <v>32298</v>
      </c>
      <c r="AF20" s="790">
        <f t="shared" si="8"/>
        <v>3610</v>
      </c>
      <c r="AG20" s="827">
        <v>63880</v>
      </c>
      <c r="AH20" s="828">
        <v>7485</v>
      </c>
      <c r="AI20" s="791">
        <f t="shared" si="9"/>
        <v>0.5177020708082832</v>
      </c>
      <c r="AJ20" s="791">
        <f t="shared" si="10"/>
        <v>0.48229792919171677</v>
      </c>
      <c r="AK20" s="790">
        <f t="shared" si="11"/>
        <v>166.33333333333334</v>
      </c>
      <c r="AL20" s="792">
        <f t="shared" si="12"/>
        <v>8.53440213760855</v>
      </c>
      <c r="AM20" s="793">
        <v>304708</v>
      </c>
      <c r="AN20" s="791">
        <f>IF(AM20&lt;&gt;0,-(AM20-AG20)/AM20,"")</f>
        <v>-0.7903566693358888</v>
      </c>
      <c r="AO20" s="394">
        <v>5155489</v>
      </c>
      <c r="AP20" s="395">
        <v>508623</v>
      </c>
      <c r="AQ20" s="794">
        <f t="shared" si="5"/>
        <v>10.136169618754952</v>
      </c>
      <c r="AR20" s="316">
        <v>40963</v>
      </c>
      <c r="AS20" s="509" t="s">
        <v>480</v>
      </c>
      <c r="AT20" s="60"/>
    </row>
    <row r="21" spans="1:46" s="10" customFormat="1" ht="15" customHeight="1">
      <c r="A21" s="368" t="s">
        <v>479</v>
      </c>
      <c r="B21" s="369"/>
      <c r="C21" s="349"/>
      <c r="D21" s="369"/>
      <c r="E21" s="369"/>
      <c r="F21" s="349"/>
      <c r="G21" s="369"/>
      <c r="H21" s="350"/>
      <c r="I21" s="351"/>
      <c r="J21" s="215" t="s">
        <v>666</v>
      </c>
      <c r="K21" s="64" t="s">
        <v>667</v>
      </c>
      <c r="L21" s="64" t="s">
        <v>394</v>
      </c>
      <c r="M21" s="64" t="s">
        <v>665</v>
      </c>
      <c r="N21" s="226">
        <v>40949</v>
      </c>
      <c r="O21" s="64" t="s">
        <v>370</v>
      </c>
      <c r="P21" s="263">
        <v>27</v>
      </c>
      <c r="Q21" s="798">
        <v>24</v>
      </c>
      <c r="R21" s="798">
        <v>3</v>
      </c>
      <c r="S21" s="808">
        <v>4242</v>
      </c>
      <c r="T21" s="809">
        <v>341</v>
      </c>
      <c r="U21" s="808">
        <v>11076</v>
      </c>
      <c r="V21" s="809">
        <v>904</v>
      </c>
      <c r="W21" s="808">
        <v>7955</v>
      </c>
      <c r="X21" s="809">
        <v>693</v>
      </c>
      <c r="Y21" s="857">
        <f t="shared" si="0"/>
        <v>23273</v>
      </c>
      <c r="Z21" s="858">
        <f t="shared" si="1"/>
        <v>1938</v>
      </c>
      <c r="AA21" s="785">
        <f t="shared" si="2"/>
        <v>80.75</v>
      </c>
      <c r="AB21" s="786">
        <f t="shared" si="3"/>
        <v>12.008771929824562</v>
      </c>
      <c r="AC21" s="799">
        <v>62623</v>
      </c>
      <c r="AD21" s="788">
        <f t="shared" si="6"/>
        <v>-0.6283633808664548</v>
      </c>
      <c r="AE21" s="789">
        <f t="shared" si="7"/>
        <v>65726</v>
      </c>
      <c r="AF21" s="790">
        <f t="shared" si="8"/>
        <v>5269</v>
      </c>
      <c r="AG21" s="830">
        <v>88999</v>
      </c>
      <c r="AH21" s="831">
        <v>7207</v>
      </c>
      <c r="AI21" s="791">
        <f t="shared" si="9"/>
        <v>0.268905231025392</v>
      </c>
      <c r="AJ21" s="791">
        <f t="shared" si="10"/>
        <v>0.731094768974608</v>
      </c>
      <c r="AK21" s="790">
        <f t="shared" si="11"/>
        <v>300.2916666666667</v>
      </c>
      <c r="AL21" s="792">
        <f t="shared" si="12"/>
        <v>12.34896628278063</v>
      </c>
      <c r="AM21" s="797">
        <v>179576</v>
      </c>
      <c r="AN21" s="791"/>
      <c r="AO21" s="816">
        <v>291846</v>
      </c>
      <c r="AP21" s="800">
        <v>23662</v>
      </c>
      <c r="AQ21" s="794">
        <f t="shared" si="5"/>
        <v>12.33395317386527</v>
      </c>
      <c r="AR21" s="316">
        <v>40963</v>
      </c>
      <c r="AS21" s="509" t="s">
        <v>478</v>
      </c>
      <c r="AT21" s="60"/>
    </row>
    <row r="22" spans="1:46" s="10" customFormat="1" ht="15" customHeight="1">
      <c r="A22" s="368" t="s">
        <v>480</v>
      </c>
      <c r="B22" s="344"/>
      <c r="C22" s="352" t="s">
        <v>261</v>
      </c>
      <c r="D22" s="349"/>
      <c r="E22" s="349"/>
      <c r="F22" s="349"/>
      <c r="G22" s="349"/>
      <c r="H22" s="370"/>
      <c r="I22" s="353" t="s">
        <v>54</v>
      </c>
      <c r="J22" s="207" t="s">
        <v>141</v>
      </c>
      <c r="K22" s="61" t="s">
        <v>142</v>
      </c>
      <c r="L22" s="66"/>
      <c r="M22" s="66" t="s">
        <v>141</v>
      </c>
      <c r="N22" s="226">
        <v>40893</v>
      </c>
      <c r="O22" s="64" t="s">
        <v>8</v>
      </c>
      <c r="P22" s="272">
        <v>131</v>
      </c>
      <c r="Q22" s="217">
        <v>27</v>
      </c>
      <c r="R22" s="217">
        <v>11</v>
      </c>
      <c r="S22" s="840">
        <v>3629</v>
      </c>
      <c r="T22" s="841">
        <v>466</v>
      </c>
      <c r="U22" s="840">
        <v>8830</v>
      </c>
      <c r="V22" s="841">
        <v>1065</v>
      </c>
      <c r="W22" s="840">
        <v>7013</v>
      </c>
      <c r="X22" s="841">
        <v>839</v>
      </c>
      <c r="Y22" s="857">
        <f t="shared" si="0"/>
        <v>19472</v>
      </c>
      <c r="Z22" s="858">
        <f t="shared" si="1"/>
        <v>2370</v>
      </c>
      <c r="AA22" s="785">
        <f t="shared" si="2"/>
        <v>87.77777777777777</v>
      </c>
      <c r="AB22" s="786">
        <f t="shared" si="3"/>
        <v>8.216033755274262</v>
      </c>
      <c r="AC22" s="783">
        <v>44611</v>
      </c>
      <c r="AD22" s="788">
        <f t="shared" si="6"/>
        <v>-0.5635157248212325</v>
      </c>
      <c r="AE22" s="789">
        <f t="shared" si="7"/>
        <v>52337</v>
      </c>
      <c r="AF22" s="790">
        <f t="shared" si="8"/>
        <v>6153</v>
      </c>
      <c r="AG22" s="827">
        <v>71809</v>
      </c>
      <c r="AH22" s="828">
        <v>8523</v>
      </c>
      <c r="AI22" s="791">
        <f t="shared" si="9"/>
        <v>0.2780711017247448</v>
      </c>
      <c r="AJ22" s="791">
        <f t="shared" si="10"/>
        <v>0.7219288982752552</v>
      </c>
      <c r="AK22" s="790">
        <f t="shared" si="11"/>
        <v>315.6666666666667</v>
      </c>
      <c r="AL22" s="792">
        <f t="shared" si="12"/>
        <v>8.425319723102193</v>
      </c>
      <c r="AM22" s="797">
        <v>387361</v>
      </c>
      <c r="AN22" s="791">
        <f>IF(AM22&lt;&gt;0,-(AM22-AG22)/AM22,"")</f>
        <v>-0.8146199539964013</v>
      </c>
      <c r="AO22" s="814">
        <v>15450567</v>
      </c>
      <c r="AP22" s="817">
        <v>1728022</v>
      </c>
      <c r="AQ22" s="794">
        <f t="shared" si="5"/>
        <v>8.941186512671713</v>
      </c>
      <c r="AR22" s="316">
        <v>40963</v>
      </c>
      <c r="AS22" s="509" t="s">
        <v>479</v>
      </c>
      <c r="AT22" s="60"/>
    </row>
    <row r="23" spans="1:46" s="10" customFormat="1" ht="15" customHeight="1">
      <c r="A23" s="368" t="s">
        <v>481</v>
      </c>
      <c r="B23" s="348"/>
      <c r="C23" s="349"/>
      <c r="D23" s="361" t="s">
        <v>223</v>
      </c>
      <c r="E23" s="356">
        <v>3</v>
      </c>
      <c r="F23" s="364">
        <v>2</v>
      </c>
      <c r="G23" s="349"/>
      <c r="H23" s="354" t="s">
        <v>55</v>
      </c>
      <c r="I23" s="350"/>
      <c r="J23" s="211" t="s">
        <v>383</v>
      </c>
      <c r="K23" s="61" t="s">
        <v>217</v>
      </c>
      <c r="L23" s="65" t="s">
        <v>94</v>
      </c>
      <c r="M23" s="63" t="s">
        <v>384</v>
      </c>
      <c r="N23" s="225">
        <v>40921</v>
      </c>
      <c r="O23" s="64" t="s">
        <v>12</v>
      </c>
      <c r="P23" s="263">
        <v>101</v>
      </c>
      <c r="Q23" s="795">
        <v>37</v>
      </c>
      <c r="R23" s="795">
        <v>7</v>
      </c>
      <c r="S23" s="805">
        <v>2068</v>
      </c>
      <c r="T23" s="806">
        <v>301</v>
      </c>
      <c r="U23" s="805">
        <v>8605</v>
      </c>
      <c r="V23" s="806">
        <v>1099</v>
      </c>
      <c r="W23" s="805">
        <v>8704</v>
      </c>
      <c r="X23" s="806">
        <v>1098</v>
      </c>
      <c r="Y23" s="857">
        <f t="shared" si="0"/>
        <v>19377</v>
      </c>
      <c r="Z23" s="858">
        <f t="shared" si="1"/>
        <v>2498</v>
      </c>
      <c r="AA23" s="785">
        <f t="shared" si="2"/>
        <v>67.51351351351352</v>
      </c>
      <c r="AB23" s="786">
        <f t="shared" si="3"/>
        <v>7.757005604483587</v>
      </c>
      <c r="AC23" s="787">
        <v>45837</v>
      </c>
      <c r="AD23" s="788">
        <f t="shared" si="6"/>
        <v>-0.5772629098763008</v>
      </c>
      <c r="AE23" s="789">
        <f t="shared" si="7"/>
        <v>43841</v>
      </c>
      <c r="AF23" s="790">
        <f t="shared" si="8"/>
        <v>5810</v>
      </c>
      <c r="AG23" s="793">
        <v>63218</v>
      </c>
      <c r="AH23" s="824">
        <v>8308</v>
      </c>
      <c r="AI23" s="791">
        <f t="shared" si="9"/>
        <v>0.30067404910929224</v>
      </c>
      <c r="AJ23" s="791">
        <f t="shared" si="10"/>
        <v>0.6993259508907077</v>
      </c>
      <c r="AK23" s="790">
        <f t="shared" si="11"/>
        <v>224.54054054054055</v>
      </c>
      <c r="AL23" s="792">
        <f t="shared" si="12"/>
        <v>7.609292248435243</v>
      </c>
      <c r="AM23" s="797">
        <v>253981</v>
      </c>
      <c r="AN23" s="791">
        <f>IF(AM23&lt;&gt;0,-(AM23-AG23)/AM23,"")</f>
        <v>-0.7510916170894674</v>
      </c>
      <c r="AO23" s="815">
        <v>7182803</v>
      </c>
      <c r="AP23" s="818">
        <v>682267</v>
      </c>
      <c r="AQ23" s="794">
        <f t="shared" si="5"/>
        <v>10.527847602185068</v>
      </c>
      <c r="AR23" s="316">
        <v>40963</v>
      </c>
      <c r="AS23" s="509" t="s">
        <v>481</v>
      </c>
      <c r="AT23" s="60"/>
    </row>
    <row r="24" spans="1:46" s="10" customFormat="1" ht="15" customHeight="1">
      <c r="A24" s="368" t="s">
        <v>482</v>
      </c>
      <c r="B24" s="349"/>
      <c r="C24" s="349"/>
      <c r="D24" s="349"/>
      <c r="E24" s="349"/>
      <c r="F24" s="349"/>
      <c r="G24" s="349"/>
      <c r="H24" s="350"/>
      <c r="I24" s="350"/>
      <c r="J24" s="211" t="s">
        <v>563</v>
      </c>
      <c r="K24" s="63" t="s">
        <v>565</v>
      </c>
      <c r="L24" s="63" t="s">
        <v>248</v>
      </c>
      <c r="M24" s="63" t="s">
        <v>564</v>
      </c>
      <c r="N24" s="225">
        <v>40935</v>
      </c>
      <c r="O24" s="64" t="s">
        <v>68</v>
      </c>
      <c r="P24" s="263">
        <v>24</v>
      </c>
      <c r="Q24" s="220">
        <v>17</v>
      </c>
      <c r="R24" s="220">
        <v>5</v>
      </c>
      <c r="S24" s="799">
        <v>2910</v>
      </c>
      <c r="T24" s="839">
        <v>251</v>
      </c>
      <c r="U24" s="799">
        <v>5707</v>
      </c>
      <c r="V24" s="839">
        <v>518</v>
      </c>
      <c r="W24" s="799">
        <v>5586</v>
      </c>
      <c r="X24" s="839">
        <v>474</v>
      </c>
      <c r="Y24" s="857">
        <f t="shared" si="0"/>
        <v>14203</v>
      </c>
      <c r="Z24" s="858">
        <f t="shared" si="1"/>
        <v>1243</v>
      </c>
      <c r="AA24" s="785">
        <f t="shared" si="2"/>
        <v>73.11764705882354</v>
      </c>
      <c r="AB24" s="786">
        <f t="shared" si="3"/>
        <v>11.426387771520515</v>
      </c>
      <c r="AC24" s="787">
        <v>11201.5</v>
      </c>
      <c r="AD24" s="788">
        <f t="shared" si="6"/>
        <v>0.2679551845734946</v>
      </c>
      <c r="AE24" s="789">
        <f t="shared" si="7"/>
        <v>6306.5</v>
      </c>
      <c r="AF24" s="790">
        <f t="shared" si="8"/>
        <v>507</v>
      </c>
      <c r="AG24" s="797">
        <v>20509.5</v>
      </c>
      <c r="AH24" s="829">
        <v>1750</v>
      </c>
      <c r="AI24" s="791">
        <f t="shared" si="9"/>
        <v>0.7102857142857143</v>
      </c>
      <c r="AJ24" s="791">
        <f t="shared" si="10"/>
        <v>0.2897142857142857</v>
      </c>
      <c r="AK24" s="790">
        <f t="shared" si="11"/>
        <v>102.94117647058823</v>
      </c>
      <c r="AL24" s="792">
        <f t="shared" si="12"/>
        <v>11.719714285714286</v>
      </c>
      <c r="AM24" s="797">
        <v>97324.5</v>
      </c>
      <c r="AN24" s="791">
        <f>IF(AM24&lt;&gt;0,-(AM24-AG24)/AM24,"")</f>
        <v>-0.7892668341476196</v>
      </c>
      <c r="AO24" s="218">
        <v>524059</v>
      </c>
      <c r="AP24" s="819">
        <v>41370</v>
      </c>
      <c r="AQ24" s="794">
        <f t="shared" si="5"/>
        <v>12.667609378776891</v>
      </c>
      <c r="AR24" s="316">
        <v>40963</v>
      </c>
      <c r="AS24" s="509" t="s">
        <v>486</v>
      </c>
      <c r="AT24" s="60"/>
    </row>
    <row r="25" spans="1:46" s="10" customFormat="1" ht="15" customHeight="1">
      <c r="A25" s="368" t="s">
        <v>483</v>
      </c>
      <c r="B25" s="349"/>
      <c r="C25" s="349"/>
      <c r="D25" s="349"/>
      <c r="E25" s="349"/>
      <c r="F25" s="349"/>
      <c r="G25" s="349"/>
      <c r="H25" s="350"/>
      <c r="I25" s="350"/>
      <c r="J25" s="209" t="s">
        <v>433</v>
      </c>
      <c r="K25" s="61" t="s">
        <v>91</v>
      </c>
      <c r="L25" s="68" t="s">
        <v>94</v>
      </c>
      <c r="M25" s="68" t="s">
        <v>426</v>
      </c>
      <c r="N25" s="225">
        <v>40928</v>
      </c>
      <c r="O25" s="64" t="s">
        <v>12</v>
      </c>
      <c r="P25" s="263">
        <v>57</v>
      </c>
      <c r="Q25" s="795">
        <v>21</v>
      </c>
      <c r="R25" s="795">
        <v>6</v>
      </c>
      <c r="S25" s="805">
        <v>2279</v>
      </c>
      <c r="T25" s="806">
        <v>303</v>
      </c>
      <c r="U25" s="805">
        <v>5054</v>
      </c>
      <c r="V25" s="806">
        <v>657</v>
      </c>
      <c r="W25" s="805">
        <v>5867</v>
      </c>
      <c r="X25" s="806">
        <v>780</v>
      </c>
      <c r="Y25" s="857">
        <f t="shared" si="0"/>
        <v>13200</v>
      </c>
      <c r="Z25" s="858">
        <f t="shared" si="1"/>
        <v>1740</v>
      </c>
      <c r="AA25" s="785">
        <f t="shared" si="2"/>
        <v>82.85714285714286</v>
      </c>
      <c r="AB25" s="786">
        <f t="shared" si="3"/>
        <v>7.586206896551724</v>
      </c>
      <c r="AC25" s="787">
        <v>9392</v>
      </c>
      <c r="AD25" s="788">
        <f t="shared" si="6"/>
        <v>0.40545144804088584</v>
      </c>
      <c r="AE25" s="789">
        <f t="shared" si="7"/>
        <v>1418</v>
      </c>
      <c r="AF25" s="790">
        <f t="shared" si="8"/>
        <v>304</v>
      </c>
      <c r="AG25" s="793">
        <v>14618</v>
      </c>
      <c r="AH25" s="824">
        <v>2044</v>
      </c>
      <c r="AI25" s="791">
        <f t="shared" si="9"/>
        <v>0.8512720156555773</v>
      </c>
      <c r="AJ25" s="791">
        <f t="shared" si="10"/>
        <v>0.1487279843444227</v>
      </c>
      <c r="AK25" s="790">
        <f t="shared" si="11"/>
        <v>97.33333333333333</v>
      </c>
      <c r="AL25" s="792">
        <f t="shared" si="12"/>
        <v>7.151663405088063</v>
      </c>
      <c r="AM25" s="793">
        <v>68848</v>
      </c>
      <c r="AN25" s="791">
        <f>IF(AM25&lt;&gt;0,-(AM25-AG25)/AM25,"")</f>
        <v>-0.7876772019521264</v>
      </c>
      <c r="AO25" s="815">
        <v>1088235</v>
      </c>
      <c r="AP25" s="818">
        <v>114610</v>
      </c>
      <c r="AQ25" s="794">
        <f t="shared" si="5"/>
        <v>9.495113864409737</v>
      </c>
      <c r="AR25" s="316">
        <v>40963</v>
      </c>
      <c r="AS25" s="509" t="s">
        <v>487</v>
      </c>
      <c r="AT25" s="60"/>
    </row>
    <row r="26" spans="1:46" s="10" customFormat="1" ht="15" customHeight="1">
      <c r="A26" s="368" t="s">
        <v>484</v>
      </c>
      <c r="B26" s="349"/>
      <c r="C26" s="349"/>
      <c r="D26" s="361" t="s">
        <v>223</v>
      </c>
      <c r="E26" s="356">
        <v>3</v>
      </c>
      <c r="F26" s="364">
        <v>2</v>
      </c>
      <c r="G26" s="360" t="s">
        <v>292</v>
      </c>
      <c r="H26" s="350"/>
      <c r="I26" s="363"/>
      <c r="J26" s="214" t="s">
        <v>690</v>
      </c>
      <c r="K26" s="65" t="s">
        <v>126</v>
      </c>
      <c r="L26" s="61" t="s">
        <v>89</v>
      </c>
      <c r="M26" s="66" t="s">
        <v>689</v>
      </c>
      <c r="N26" s="225">
        <v>41253</v>
      </c>
      <c r="O26" s="64" t="s">
        <v>68</v>
      </c>
      <c r="P26" s="263">
        <v>60</v>
      </c>
      <c r="Q26" s="220">
        <v>14</v>
      </c>
      <c r="R26" s="220">
        <v>3</v>
      </c>
      <c r="S26" s="799">
        <v>1437</v>
      </c>
      <c r="T26" s="839">
        <v>90</v>
      </c>
      <c r="U26" s="799">
        <v>5412</v>
      </c>
      <c r="V26" s="839">
        <v>356</v>
      </c>
      <c r="W26" s="799">
        <v>5996.5</v>
      </c>
      <c r="X26" s="839">
        <v>418</v>
      </c>
      <c r="Y26" s="857">
        <f t="shared" si="0"/>
        <v>12845.5</v>
      </c>
      <c r="Z26" s="858">
        <f t="shared" si="1"/>
        <v>864</v>
      </c>
      <c r="AA26" s="785">
        <f t="shared" si="2"/>
        <v>61.714285714285715</v>
      </c>
      <c r="AB26" s="786">
        <f t="shared" si="3"/>
        <v>14.867476851851851</v>
      </c>
      <c r="AC26" s="787">
        <v>104384.5</v>
      </c>
      <c r="AD26" s="788">
        <f t="shared" si="6"/>
        <v>-0.8769405419386977</v>
      </c>
      <c r="AE26" s="789">
        <f t="shared" si="7"/>
        <v>139207</v>
      </c>
      <c r="AF26" s="790">
        <f t="shared" si="8"/>
        <v>10925</v>
      </c>
      <c r="AG26" s="797">
        <v>152052.5</v>
      </c>
      <c r="AH26" s="829">
        <v>11789</v>
      </c>
      <c r="AI26" s="791">
        <f t="shared" si="9"/>
        <v>0.07328865891933158</v>
      </c>
      <c r="AJ26" s="791">
        <f t="shared" si="10"/>
        <v>0.9267113410806684</v>
      </c>
      <c r="AK26" s="790">
        <f t="shared" si="11"/>
        <v>842.0714285714286</v>
      </c>
      <c r="AL26" s="792">
        <f t="shared" si="12"/>
        <v>12.897828484180168</v>
      </c>
      <c r="AM26" s="793">
        <v>453045.5</v>
      </c>
      <c r="AN26" s="791"/>
      <c r="AO26" s="218">
        <v>617943.5</v>
      </c>
      <c r="AP26" s="819">
        <v>49117</v>
      </c>
      <c r="AQ26" s="794">
        <f t="shared" si="5"/>
        <v>12.58105136714376</v>
      </c>
      <c r="AR26" s="316">
        <v>40963</v>
      </c>
      <c r="AS26" s="509" t="s">
        <v>475</v>
      </c>
      <c r="AT26" s="60"/>
    </row>
    <row r="27" spans="1:46" s="10" customFormat="1" ht="15" customHeight="1">
      <c r="A27" s="368" t="s">
        <v>485</v>
      </c>
      <c r="B27" s="348"/>
      <c r="C27" s="352" t="s">
        <v>261</v>
      </c>
      <c r="D27" s="361" t="s">
        <v>223</v>
      </c>
      <c r="E27" s="349"/>
      <c r="F27" s="364">
        <v>2</v>
      </c>
      <c r="G27" s="360" t="s">
        <v>292</v>
      </c>
      <c r="H27" s="354" t="s">
        <v>55</v>
      </c>
      <c r="I27" s="351"/>
      <c r="J27" s="211" t="s">
        <v>144</v>
      </c>
      <c r="K27" s="61" t="s">
        <v>126</v>
      </c>
      <c r="L27" s="65" t="s">
        <v>89</v>
      </c>
      <c r="M27" s="63" t="s">
        <v>145</v>
      </c>
      <c r="N27" s="225">
        <v>40893</v>
      </c>
      <c r="O27" s="64" t="s">
        <v>68</v>
      </c>
      <c r="P27" s="263">
        <v>131</v>
      </c>
      <c r="Q27" s="220">
        <v>16</v>
      </c>
      <c r="R27" s="220">
        <v>11</v>
      </c>
      <c r="S27" s="799">
        <v>2189.5</v>
      </c>
      <c r="T27" s="839">
        <v>779</v>
      </c>
      <c r="U27" s="799">
        <v>2450</v>
      </c>
      <c r="V27" s="839">
        <v>388</v>
      </c>
      <c r="W27" s="799">
        <v>3235.5</v>
      </c>
      <c r="X27" s="839">
        <v>730</v>
      </c>
      <c r="Y27" s="857">
        <f t="shared" si="0"/>
        <v>7875</v>
      </c>
      <c r="Z27" s="858">
        <f t="shared" si="1"/>
        <v>1897</v>
      </c>
      <c r="AA27" s="785">
        <f t="shared" si="2"/>
        <v>118.5625</v>
      </c>
      <c r="AB27" s="786">
        <f t="shared" si="3"/>
        <v>4.1512915129151295</v>
      </c>
      <c r="AC27" s="787">
        <v>2464</v>
      </c>
      <c r="AD27" s="788">
        <f t="shared" si="6"/>
        <v>2.196022727272727</v>
      </c>
      <c r="AE27" s="789">
        <f t="shared" si="7"/>
        <v>-1534</v>
      </c>
      <c r="AF27" s="790">
        <f t="shared" si="8"/>
        <v>45</v>
      </c>
      <c r="AG27" s="797">
        <v>6341</v>
      </c>
      <c r="AH27" s="829">
        <v>1942</v>
      </c>
      <c r="AI27" s="791">
        <f t="shared" si="9"/>
        <v>0.9768280123583934</v>
      </c>
      <c r="AJ27" s="791">
        <f t="shared" si="10"/>
        <v>0.023171987641606592</v>
      </c>
      <c r="AK27" s="790">
        <f t="shared" si="11"/>
        <v>121.375</v>
      </c>
      <c r="AL27" s="792">
        <f t="shared" si="12"/>
        <v>3.26519052523172</v>
      </c>
      <c r="AM27" s="797">
        <v>25083</v>
      </c>
      <c r="AN27" s="791">
        <f>IF(AM27&lt;&gt;0,-(AM27-AG27)/AM27,"")</f>
        <v>-0.7471992983295459</v>
      </c>
      <c r="AO27" s="218">
        <v>4072899.5</v>
      </c>
      <c r="AP27" s="819">
        <v>459550</v>
      </c>
      <c r="AQ27" s="794">
        <f t="shared" si="5"/>
        <v>8.862799477749974</v>
      </c>
      <c r="AR27" s="316">
        <v>40963</v>
      </c>
      <c r="AS27" s="509" t="s">
        <v>496</v>
      </c>
      <c r="AT27" s="60"/>
    </row>
    <row r="28" spans="1:46" s="10" customFormat="1" ht="15" customHeight="1">
      <c r="A28" s="368" t="s">
        <v>486</v>
      </c>
      <c r="B28" s="369"/>
      <c r="C28" s="349"/>
      <c r="D28" s="349"/>
      <c r="E28" s="349"/>
      <c r="F28" s="349"/>
      <c r="G28" s="349"/>
      <c r="H28" s="350"/>
      <c r="I28" s="350"/>
      <c r="J28" s="209" t="s">
        <v>632</v>
      </c>
      <c r="K28" s="61" t="s">
        <v>633</v>
      </c>
      <c r="L28" s="68" t="s">
        <v>94</v>
      </c>
      <c r="M28" s="68" t="s">
        <v>634</v>
      </c>
      <c r="N28" s="225">
        <v>40942</v>
      </c>
      <c r="O28" s="64" t="s">
        <v>12</v>
      </c>
      <c r="P28" s="263">
        <v>38</v>
      </c>
      <c r="Q28" s="795">
        <v>13</v>
      </c>
      <c r="R28" s="795">
        <v>4</v>
      </c>
      <c r="S28" s="805">
        <v>1355</v>
      </c>
      <c r="T28" s="806">
        <v>146</v>
      </c>
      <c r="U28" s="805">
        <v>3295</v>
      </c>
      <c r="V28" s="806">
        <v>323</v>
      </c>
      <c r="W28" s="805">
        <v>2907</v>
      </c>
      <c r="X28" s="806">
        <v>299</v>
      </c>
      <c r="Y28" s="857">
        <f t="shared" si="0"/>
        <v>7557</v>
      </c>
      <c r="Z28" s="858">
        <f t="shared" si="1"/>
        <v>768</v>
      </c>
      <c r="AA28" s="785">
        <f t="shared" si="2"/>
        <v>59.07692307692308</v>
      </c>
      <c r="AB28" s="786">
        <f t="shared" si="3"/>
        <v>9.83984375</v>
      </c>
      <c r="AC28" s="787">
        <v>19815</v>
      </c>
      <c r="AD28" s="788">
        <f t="shared" si="6"/>
        <v>-0.6186222558667676</v>
      </c>
      <c r="AE28" s="789">
        <f t="shared" si="7"/>
        <v>23335</v>
      </c>
      <c r="AF28" s="790">
        <f t="shared" si="8"/>
        <v>2274</v>
      </c>
      <c r="AG28" s="793">
        <v>30892</v>
      </c>
      <c r="AH28" s="824">
        <v>3042</v>
      </c>
      <c r="AI28" s="791">
        <f t="shared" si="9"/>
        <v>0.252465483234714</v>
      </c>
      <c r="AJ28" s="791">
        <f t="shared" si="10"/>
        <v>0.747534516765286</v>
      </c>
      <c r="AK28" s="790">
        <f t="shared" si="11"/>
        <v>234</v>
      </c>
      <c r="AL28" s="792">
        <f t="shared" si="12"/>
        <v>10.155161078238</v>
      </c>
      <c r="AM28" s="793">
        <v>179400</v>
      </c>
      <c r="AN28" s="791"/>
      <c r="AO28" s="815">
        <v>515512</v>
      </c>
      <c r="AP28" s="818">
        <v>44206</v>
      </c>
      <c r="AQ28" s="794">
        <f t="shared" si="5"/>
        <v>11.661584400307651</v>
      </c>
      <c r="AR28" s="316">
        <v>40963</v>
      </c>
      <c r="AS28" s="509" t="s">
        <v>483</v>
      </c>
      <c r="AT28" s="60"/>
    </row>
    <row r="29" spans="1:46" s="10" customFormat="1" ht="15" customHeight="1">
      <c r="A29" s="368" t="s">
        <v>487</v>
      </c>
      <c r="B29" s="349"/>
      <c r="C29" s="369"/>
      <c r="D29" s="369"/>
      <c r="E29" s="369"/>
      <c r="F29" s="349"/>
      <c r="G29" s="369"/>
      <c r="H29" s="350"/>
      <c r="I29" s="353" t="s">
        <v>54</v>
      </c>
      <c r="J29" s="215" t="s">
        <v>631</v>
      </c>
      <c r="K29" s="61" t="s">
        <v>639</v>
      </c>
      <c r="L29" s="64"/>
      <c r="M29" s="64" t="s">
        <v>631</v>
      </c>
      <c r="N29" s="225">
        <v>40942</v>
      </c>
      <c r="O29" s="64" t="s">
        <v>52</v>
      </c>
      <c r="P29" s="263">
        <v>42</v>
      </c>
      <c r="Q29" s="798">
        <v>13</v>
      </c>
      <c r="R29" s="798">
        <v>4</v>
      </c>
      <c r="S29" s="783">
        <v>1189</v>
      </c>
      <c r="T29" s="784">
        <v>182</v>
      </c>
      <c r="U29" s="783">
        <v>3120</v>
      </c>
      <c r="V29" s="784">
        <v>448</v>
      </c>
      <c r="W29" s="783">
        <v>2812</v>
      </c>
      <c r="X29" s="784">
        <v>398</v>
      </c>
      <c r="Y29" s="857">
        <f t="shared" si="0"/>
        <v>7121</v>
      </c>
      <c r="Z29" s="858">
        <f t="shared" si="1"/>
        <v>1028</v>
      </c>
      <c r="AA29" s="785">
        <f t="shared" si="2"/>
        <v>79.07692307692308</v>
      </c>
      <c r="AB29" s="786">
        <f t="shared" si="3"/>
        <v>6.9270428015564205</v>
      </c>
      <c r="AC29" s="799">
        <v>5342</v>
      </c>
      <c r="AD29" s="788">
        <f t="shared" si="6"/>
        <v>0.3330213403219768</v>
      </c>
      <c r="AE29" s="789">
        <f t="shared" si="7"/>
        <v>4018.41</v>
      </c>
      <c r="AF29" s="790">
        <f t="shared" si="8"/>
        <v>406</v>
      </c>
      <c r="AG29" s="793">
        <v>11139.41</v>
      </c>
      <c r="AH29" s="824">
        <v>1434</v>
      </c>
      <c r="AI29" s="791">
        <f t="shared" si="9"/>
        <v>0.7168758716875872</v>
      </c>
      <c r="AJ29" s="791">
        <f t="shared" si="10"/>
        <v>0.28312412831241285</v>
      </c>
      <c r="AK29" s="790">
        <f t="shared" si="11"/>
        <v>110.3076923076923</v>
      </c>
      <c r="AL29" s="792">
        <f t="shared" si="12"/>
        <v>7.768068340306834</v>
      </c>
      <c r="AM29" s="797">
        <v>70285.95</v>
      </c>
      <c r="AN29" s="791"/>
      <c r="AO29" s="801">
        <v>250566.71</v>
      </c>
      <c r="AP29" s="802">
        <v>26149</v>
      </c>
      <c r="AQ29" s="794">
        <f t="shared" si="5"/>
        <v>9.582267390722398</v>
      </c>
      <c r="AR29" s="316">
        <v>40963</v>
      </c>
      <c r="AS29" s="509" t="s">
        <v>491</v>
      </c>
      <c r="AT29" s="410"/>
    </row>
    <row r="30" spans="1:46" s="10" customFormat="1" ht="15" customHeight="1">
      <c r="A30" s="368" t="s">
        <v>488</v>
      </c>
      <c r="B30" s="369"/>
      <c r="C30" s="349"/>
      <c r="D30" s="369"/>
      <c r="E30" s="369"/>
      <c r="F30" s="349"/>
      <c r="G30" s="369"/>
      <c r="H30" s="350"/>
      <c r="I30" s="351"/>
      <c r="J30" s="215" t="s">
        <v>668</v>
      </c>
      <c r="K30" s="61" t="s">
        <v>669</v>
      </c>
      <c r="L30" s="64" t="s">
        <v>99</v>
      </c>
      <c r="M30" s="64" t="s">
        <v>670</v>
      </c>
      <c r="N30" s="225">
        <v>40949</v>
      </c>
      <c r="O30" s="64" t="s">
        <v>52</v>
      </c>
      <c r="P30" s="263">
        <v>26</v>
      </c>
      <c r="Q30" s="798">
        <v>13</v>
      </c>
      <c r="R30" s="798">
        <v>3</v>
      </c>
      <c r="S30" s="783">
        <v>1201.26</v>
      </c>
      <c r="T30" s="784">
        <v>133</v>
      </c>
      <c r="U30" s="783">
        <v>2759.5</v>
      </c>
      <c r="V30" s="784">
        <v>283</v>
      </c>
      <c r="W30" s="783">
        <v>2615.5</v>
      </c>
      <c r="X30" s="784">
        <v>268</v>
      </c>
      <c r="Y30" s="857">
        <f t="shared" si="0"/>
        <v>6576.26</v>
      </c>
      <c r="Z30" s="858">
        <f t="shared" si="1"/>
        <v>684</v>
      </c>
      <c r="AA30" s="785">
        <f t="shared" si="2"/>
        <v>52.61538461538461</v>
      </c>
      <c r="AB30" s="786">
        <f t="shared" si="3"/>
        <v>9.614415204678362</v>
      </c>
      <c r="AC30" s="799">
        <v>29175.2</v>
      </c>
      <c r="AD30" s="788">
        <f t="shared" si="6"/>
        <v>-0.7745941758754011</v>
      </c>
      <c r="AE30" s="789">
        <f t="shared" si="7"/>
        <v>35368.42</v>
      </c>
      <c r="AF30" s="790">
        <f t="shared" si="8"/>
        <v>3663</v>
      </c>
      <c r="AG30" s="793">
        <v>41944.68</v>
      </c>
      <c r="AH30" s="824">
        <v>4347</v>
      </c>
      <c r="AI30" s="791">
        <f t="shared" si="9"/>
        <v>0.15734989648033126</v>
      </c>
      <c r="AJ30" s="791">
        <f t="shared" si="10"/>
        <v>0.8426501035196687</v>
      </c>
      <c r="AK30" s="790">
        <f t="shared" si="11"/>
        <v>334.38461538461536</v>
      </c>
      <c r="AL30" s="792">
        <f t="shared" si="12"/>
        <v>9.649109730848862</v>
      </c>
      <c r="AM30" s="797">
        <v>122578.91</v>
      </c>
      <c r="AN30" s="791"/>
      <c r="AO30" s="801">
        <v>171099.85</v>
      </c>
      <c r="AP30" s="802">
        <v>17492</v>
      </c>
      <c r="AQ30" s="794">
        <f t="shared" si="5"/>
        <v>9.78160587697233</v>
      </c>
      <c r="AR30" s="316">
        <v>40963</v>
      </c>
      <c r="AS30" s="509" t="s">
        <v>482</v>
      </c>
      <c r="AT30" s="410"/>
    </row>
    <row r="31" spans="1:46" s="10" customFormat="1" ht="15" customHeight="1">
      <c r="A31" s="368" t="s">
        <v>489</v>
      </c>
      <c r="B31" s="369"/>
      <c r="C31" s="349"/>
      <c r="D31" s="349"/>
      <c r="E31" s="349"/>
      <c r="F31" s="349"/>
      <c r="G31" s="349"/>
      <c r="H31" s="350"/>
      <c r="I31" s="350"/>
      <c r="J31" s="211" t="s">
        <v>673</v>
      </c>
      <c r="K31" s="61" t="s">
        <v>217</v>
      </c>
      <c r="L31" s="68" t="s">
        <v>94</v>
      </c>
      <c r="M31" s="63" t="s">
        <v>675</v>
      </c>
      <c r="N31" s="225">
        <v>40949</v>
      </c>
      <c r="O31" s="64" t="s">
        <v>12</v>
      </c>
      <c r="P31" s="263">
        <v>15</v>
      </c>
      <c r="Q31" s="795">
        <v>7</v>
      </c>
      <c r="R31" s="795">
        <v>3</v>
      </c>
      <c r="S31" s="805">
        <v>1302</v>
      </c>
      <c r="T31" s="806">
        <v>92</v>
      </c>
      <c r="U31" s="805">
        <v>2112</v>
      </c>
      <c r="V31" s="806">
        <v>146</v>
      </c>
      <c r="W31" s="805">
        <v>2384</v>
      </c>
      <c r="X31" s="806">
        <v>164</v>
      </c>
      <c r="Y31" s="857">
        <f t="shared" si="0"/>
        <v>5798</v>
      </c>
      <c r="Z31" s="858">
        <f t="shared" si="1"/>
        <v>402</v>
      </c>
      <c r="AA31" s="785">
        <f t="shared" si="2"/>
        <v>57.42857142857143</v>
      </c>
      <c r="AB31" s="786">
        <f t="shared" si="3"/>
        <v>14.422885572139304</v>
      </c>
      <c r="AC31" s="787">
        <v>17916</v>
      </c>
      <c r="AD31" s="788">
        <f t="shared" si="6"/>
        <v>-0.6763786559499888</v>
      </c>
      <c r="AE31" s="789">
        <f t="shared" si="7"/>
        <v>22496</v>
      </c>
      <c r="AF31" s="790">
        <f t="shared" si="8"/>
        <v>1930</v>
      </c>
      <c r="AG31" s="793">
        <v>28294</v>
      </c>
      <c r="AH31" s="824">
        <v>2332</v>
      </c>
      <c r="AI31" s="791">
        <f t="shared" si="9"/>
        <v>0.17238421955403088</v>
      </c>
      <c r="AJ31" s="791">
        <f t="shared" si="10"/>
        <v>0.8276157804459692</v>
      </c>
      <c r="AK31" s="790">
        <f t="shared" si="11"/>
        <v>333.14285714285717</v>
      </c>
      <c r="AL31" s="792">
        <f t="shared" si="12"/>
        <v>12.132933104631217</v>
      </c>
      <c r="AM31" s="797">
        <v>38467</v>
      </c>
      <c r="AN31" s="791"/>
      <c r="AO31" s="815">
        <v>72609</v>
      </c>
      <c r="AP31" s="818">
        <v>6092</v>
      </c>
      <c r="AQ31" s="794">
        <f t="shared" si="5"/>
        <v>11.918745896257386</v>
      </c>
      <c r="AR31" s="316">
        <v>40963</v>
      </c>
      <c r="AS31" s="509" t="s">
        <v>484</v>
      </c>
      <c r="AT31" s="410"/>
    </row>
    <row r="32" spans="1:46" s="10" customFormat="1" ht="15" customHeight="1">
      <c r="A32" s="368" t="s">
        <v>490</v>
      </c>
      <c r="B32" s="348"/>
      <c r="C32" s="349"/>
      <c r="D32" s="349"/>
      <c r="E32" s="349"/>
      <c r="F32" s="349"/>
      <c r="G32" s="349"/>
      <c r="H32" s="350"/>
      <c r="I32" s="350"/>
      <c r="J32" s="211" t="s">
        <v>224</v>
      </c>
      <c r="K32" s="61" t="s">
        <v>193</v>
      </c>
      <c r="L32" s="65" t="s">
        <v>128</v>
      </c>
      <c r="M32" s="63" t="s">
        <v>191</v>
      </c>
      <c r="N32" s="226">
        <v>40907</v>
      </c>
      <c r="O32" s="64" t="s">
        <v>68</v>
      </c>
      <c r="P32" s="263">
        <v>19</v>
      </c>
      <c r="Q32" s="220">
        <v>6</v>
      </c>
      <c r="R32" s="220">
        <v>9</v>
      </c>
      <c r="S32" s="799">
        <v>918</v>
      </c>
      <c r="T32" s="839">
        <v>123</v>
      </c>
      <c r="U32" s="799">
        <v>2166.5</v>
      </c>
      <c r="V32" s="839">
        <v>259</v>
      </c>
      <c r="W32" s="799">
        <v>2240</v>
      </c>
      <c r="X32" s="839">
        <v>259</v>
      </c>
      <c r="Y32" s="857">
        <f t="shared" si="0"/>
        <v>5324.5</v>
      </c>
      <c r="Z32" s="858">
        <f t="shared" si="1"/>
        <v>641</v>
      </c>
      <c r="AA32" s="785">
        <f t="shared" si="2"/>
        <v>106.83333333333333</v>
      </c>
      <c r="AB32" s="786">
        <f t="shared" si="3"/>
        <v>8.306552262090484</v>
      </c>
      <c r="AC32" s="787">
        <v>86</v>
      </c>
      <c r="AD32" s="788">
        <f t="shared" si="6"/>
        <v>60.91279069767442</v>
      </c>
      <c r="AE32" s="789">
        <f t="shared" si="7"/>
        <v>-5184.5</v>
      </c>
      <c r="AF32" s="790">
        <f t="shared" si="8"/>
        <v>-622</v>
      </c>
      <c r="AG32" s="797">
        <v>140</v>
      </c>
      <c r="AH32" s="829">
        <v>19</v>
      </c>
      <c r="AI32" s="791">
        <f t="shared" si="9"/>
        <v>33.73684210526316</v>
      </c>
      <c r="AJ32" s="791">
        <f t="shared" si="10"/>
        <v>-32.73684210526316</v>
      </c>
      <c r="AK32" s="790">
        <f t="shared" si="11"/>
        <v>3.1666666666666665</v>
      </c>
      <c r="AL32" s="792">
        <f t="shared" si="12"/>
        <v>7.368421052631579</v>
      </c>
      <c r="AM32" s="797">
        <v>18153</v>
      </c>
      <c r="AN32" s="791">
        <f>IF(AM32&lt;&gt;0,-(AM32-AG32)/AM32,"")</f>
        <v>-0.9922877761251584</v>
      </c>
      <c r="AO32" s="218">
        <v>317154.86</v>
      </c>
      <c r="AP32" s="819">
        <v>27231</v>
      </c>
      <c r="AQ32" s="794">
        <f t="shared" si="5"/>
        <v>11.646831185046453</v>
      </c>
      <c r="AR32" s="316">
        <v>40963</v>
      </c>
      <c r="AS32" s="509" t="s">
        <v>520</v>
      </c>
      <c r="AT32" s="410"/>
    </row>
    <row r="33" spans="1:46" s="10" customFormat="1" ht="15" customHeight="1">
      <c r="A33" s="368" t="s">
        <v>491</v>
      </c>
      <c r="B33" s="369"/>
      <c r="C33" s="349"/>
      <c r="D33" s="349"/>
      <c r="E33" s="349"/>
      <c r="F33" s="349"/>
      <c r="G33" s="349"/>
      <c r="H33" s="350"/>
      <c r="I33" s="349"/>
      <c r="J33" s="211" t="s">
        <v>635</v>
      </c>
      <c r="K33" s="61" t="s">
        <v>641</v>
      </c>
      <c r="L33" s="62" t="s">
        <v>95</v>
      </c>
      <c r="M33" s="63" t="s">
        <v>648</v>
      </c>
      <c r="N33" s="225">
        <v>40942</v>
      </c>
      <c r="O33" s="64" t="s">
        <v>10</v>
      </c>
      <c r="P33" s="284">
        <v>143</v>
      </c>
      <c r="Q33" s="221">
        <v>3</v>
      </c>
      <c r="R33" s="221">
        <v>4</v>
      </c>
      <c r="S33" s="842">
        <v>484</v>
      </c>
      <c r="T33" s="843">
        <v>30</v>
      </c>
      <c r="U33" s="842">
        <v>2656</v>
      </c>
      <c r="V33" s="843">
        <v>144</v>
      </c>
      <c r="W33" s="842">
        <v>2001</v>
      </c>
      <c r="X33" s="843">
        <v>103</v>
      </c>
      <c r="Y33" s="857">
        <f t="shared" si="0"/>
        <v>5141</v>
      </c>
      <c r="Z33" s="858">
        <f t="shared" si="1"/>
        <v>277</v>
      </c>
      <c r="AA33" s="785">
        <f t="shared" si="2"/>
        <v>92.33333333333333</v>
      </c>
      <c r="AB33" s="786">
        <f t="shared" si="3"/>
        <v>18.55956678700361</v>
      </c>
      <c r="AC33" s="787">
        <v>59504</v>
      </c>
      <c r="AD33" s="788">
        <f t="shared" si="6"/>
        <v>-0.9136024468943265</v>
      </c>
      <c r="AE33" s="789">
        <f t="shared" si="7"/>
        <v>89742</v>
      </c>
      <c r="AF33" s="790">
        <f t="shared" si="8"/>
        <v>7178</v>
      </c>
      <c r="AG33" s="827">
        <v>94883</v>
      </c>
      <c r="AH33" s="828">
        <v>7455</v>
      </c>
      <c r="AI33" s="791">
        <f t="shared" si="9"/>
        <v>0.03715627095908786</v>
      </c>
      <c r="AJ33" s="791">
        <f t="shared" si="10"/>
        <v>0.9628437290409121</v>
      </c>
      <c r="AK33" s="790">
        <f t="shared" si="11"/>
        <v>2485</v>
      </c>
      <c r="AL33" s="792">
        <f t="shared" si="12"/>
        <v>12.727431254191817</v>
      </c>
      <c r="AM33" s="793">
        <v>925764</v>
      </c>
      <c r="AN33" s="791"/>
      <c r="AO33" s="394">
        <v>2448210</v>
      </c>
      <c r="AP33" s="395">
        <v>214878</v>
      </c>
      <c r="AQ33" s="794">
        <f t="shared" si="5"/>
        <v>11.39348839806774</v>
      </c>
      <c r="AR33" s="316">
        <v>40963</v>
      </c>
      <c r="AS33" s="509" t="s">
        <v>477</v>
      </c>
      <c r="AT33" s="410"/>
    </row>
    <row r="34" spans="1:46" s="10" customFormat="1" ht="15" customHeight="1">
      <c r="A34" s="368" t="s">
        <v>492</v>
      </c>
      <c r="B34" s="349"/>
      <c r="C34" s="349"/>
      <c r="D34" s="349"/>
      <c r="E34" s="349"/>
      <c r="F34" s="349"/>
      <c r="G34" s="349"/>
      <c r="H34" s="350"/>
      <c r="I34" s="353" t="s">
        <v>54</v>
      </c>
      <c r="J34" s="298" t="s">
        <v>381</v>
      </c>
      <c r="K34" s="64" t="s">
        <v>382</v>
      </c>
      <c r="L34" s="64"/>
      <c r="M34" s="64" t="s">
        <v>381</v>
      </c>
      <c r="N34" s="225">
        <v>40921</v>
      </c>
      <c r="O34" s="64" t="s">
        <v>52</v>
      </c>
      <c r="P34" s="263">
        <v>49</v>
      </c>
      <c r="Q34" s="798">
        <v>7</v>
      </c>
      <c r="R34" s="798">
        <v>7</v>
      </c>
      <c r="S34" s="783">
        <v>865</v>
      </c>
      <c r="T34" s="784">
        <v>121</v>
      </c>
      <c r="U34" s="783">
        <v>1922</v>
      </c>
      <c r="V34" s="784">
        <v>271</v>
      </c>
      <c r="W34" s="783">
        <v>1973</v>
      </c>
      <c r="X34" s="784">
        <v>266</v>
      </c>
      <c r="Y34" s="857">
        <f t="shared" si="0"/>
        <v>4760</v>
      </c>
      <c r="Z34" s="858">
        <f t="shared" si="1"/>
        <v>658</v>
      </c>
      <c r="AA34" s="785">
        <f t="shared" si="2"/>
        <v>94</v>
      </c>
      <c r="AB34" s="786">
        <f t="shared" si="3"/>
        <v>7.23404255319149</v>
      </c>
      <c r="AC34" s="787">
        <v>6926</v>
      </c>
      <c r="AD34" s="788">
        <f t="shared" si="6"/>
        <v>-0.3127346231591106</v>
      </c>
      <c r="AE34" s="789">
        <f t="shared" si="7"/>
        <v>7123</v>
      </c>
      <c r="AF34" s="790">
        <f t="shared" si="8"/>
        <v>980</v>
      </c>
      <c r="AG34" s="793">
        <v>11883</v>
      </c>
      <c r="AH34" s="824">
        <v>1638</v>
      </c>
      <c r="AI34" s="791">
        <f t="shared" si="9"/>
        <v>0.4017094017094017</v>
      </c>
      <c r="AJ34" s="791">
        <f t="shared" si="10"/>
        <v>0.5982905982905983</v>
      </c>
      <c r="AK34" s="790">
        <f t="shared" si="11"/>
        <v>234</v>
      </c>
      <c r="AL34" s="792">
        <f t="shared" si="12"/>
        <v>7.254578754578755</v>
      </c>
      <c r="AM34" s="793">
        <v>24830.5</v>
      </c>
      <c r="AN34" s="791">
        <f>IF(AM34&lt;&gt;0,-(AM34-AG34)/AM34,"")</f>
        <v>-0.5214353315478947</v>
      </c>
      <c r="AO34" s="801">
        <v>909099.5</v>
      </c>
      <c r="AP34" s="802">
        <v>85208</v>
      </c>
      <c r="AQ34" s="794">
        <f t="shared" si="5"/>
        <v>10.669180123932025</v>
      </c>
      <c r="AR34" s="316">
        <v>40963</v>
      </c>
      <c r="AS34" s="509" t="s">
        <v>489</v>
      </c>
      <c r="AT34" s="410"/>
    </row>
    <row r="35" spans="1:46" s="10" customFormat="1" ht="15" customHeight="1">
      <c r="A35" s="368" t="s">
        <v>493</v>
      </c>
      <c r="B35" s="349"/>
      <c r="C35" s="349"/>
      <c r="D35" s="349"/>
      <c r="E35" s="349"/>
      <c r="F35" s="349"/>
      <c r="G35" s="349"/>
      <c r="H35" s="350"/>
      <c r="I35" s="353" t="s">
        <v>54</v>
      </c>
      <c r="J35" s="209" t="s">
        <v>347</v>
      </c>
      <c r="K35" s="61" t="s">
        <v>348</v>
      </c>
      <c r="L35" s="68"/>
      <c r="M35" s="68" t="s">
        <v>347</v>
      </c>
      <c r="N35" s="225">
        <v>40914</v>
      </c>
      <c r="O35" s="64" t="s">
        <v>12</v>
      </c>
      <c r="P35" s="263">
        <v>204</v>
      </c>
      <c r="Q35" s="795">
        <v>7</v>
      </c>
      <c r="R35" s="795">
        <v>8</v>
      </c>
      <c r="S35" s="805">
        <v>1113</v>
      </c>
      <c r="T35" s="806">
        <v>136</v>
      </c>
      <c r="U35" s="805">
        <v>1487</v>
      </c>
      <c r="V35" s="806">
        <v>292</v>
      </c>
      <c r="W35" s="805">
        <v>1344</v>
      </c>
      <c r="X35" s="806">
        <v>253</v>
      </c>
      <c r="Y35" s="857">
        <f t="shared" si="0"/>
        <v>3944</v>
      </c>
      <c r="Z35" s="858">
        <f t="shared" si="1"/>
        <v>681</v>
      </c>
      <c r="AA35" s="785">
        <f t="shared" si="2"/>
        <v>97.28571428571429</v>
      </c>
      <c r="AB35" s="786">
        <f t="shared" si="3"/>
        <v>5.791483113069016</v>
      </c>
      <c r="AC35" s="787">
        <v>2938</v>
      </c>
      <c r="AD35" s="788">
        <f t="shared" si="6"/>
        <v>0.3424098025867937</v>
      </c>
      <c r="AE35" s="789">
        <f t="shared" si="7"/>
        <v>-51</v>
      </c>
      <c r="AF35" s="790">
        <f t="shared" si="8"/>
        <v>-156</v>
      </c>
      <c r="AG35" s="793">
        <v>3893</v>
      </c>
      <c r="AH35" s="824">
        <v>525</v>
      </c>
      <c r="AI35" s="791">
        <f t="shared" si="9"/>
        <v>1.2971428571428572</v>
      </c>
      <c r="AJ35" s="791">
        <f t="shared" si="10"/>
        <v>-0.29714285714285715</v>
      </c>
      <c r="AK35" s="790">
        <f t="shared" si="11"/>
        <v>75</v>
      </c>
      <c r="AL35" s="792">
        <f t="shared" si="12"/>
        <v>7.415238095238095</v>
      </c>
      <c r="AM35" s="793">
        <v>139126</v>
      </c>
      <c r="AN35" s="791">
        <f>IF(AM35&lt;&gt;0,-(AM35-AG35)/AM35,"")</f>
        <v>-0.9720181705791872</v>
      </c>
      <c r="AO35" s="815">
        <v>5361295</v>
      </c>
      <c r="AP35" s="818">
        <v>578741</v>
      </c>
      <c r="AQ35" s="794">
        <f t="shared" si="5"/>
        <v>9.263720731726282</v>
      </c>
      <c r="AR35" s="316">
        <v>40963</v>
      </c>
      <c r="AS35" s="509" t="s">
        <v>499</v>
      </c>
      <c r="AT35" s="60"/>
    </row>
    <row r="36" spans="1:46" s="10" customFormat="1" ht="15" customHeight="1">
      <c r="A36" s="368" t="s">
        <v>494</v>
      </c>
      <c r="B36" s="349"/>
      <c r="C36" s="349"/>
      <c r="D36" s="369"/>
      <c r="E36" s="369"/>
      <c r="F36" s="349"/>
      <c r="G36" s="369"/>
      <c r="H36" s="350"/>
      <c r="I36" s="351"/>
      <c r="J36" s="215" t="s">
        <v>629</v>
      </c>
      <c r="K36" s="61" t="s">
        <v>396</v>
      </c>
      <c r="L36" s="64" t="s">
        <v>248</v>
      </c>
      <c r="M36" s="64" t="s">
        <v>636</v>
      </c>
      <c r="N36" s="225">
        <v>40942</v>
      </c>
      <c r="O36" s="64" t="s">
        <v>332</v>
      </c>
      <c r="P36" s="263">
        <v>17</v>
      </c>
      <c r="Q36" s="220">
        <v>5</v>
      </c>
      <c r="R36" s="220">
        <v>4</v>
      </c>
      <c r="S36" s="783">
        <v>915</v>
      </c>
      <c r="T36" s="784">
        <v>85</v>
      </c>
      <c r="U36" s="783">
        <v>1539</v>
      </c>
      <c r="V36" s="784">
        <v>141</v>
      </c>
      <c r="W36" s="783">
        <v>1452.5</v>
      </c>
      <c r="X36" s="784">
        <v>131</v>
      </c>
      <c r="Y36" s="857">
        <f t="shared" si="0"/>
        <v>3906.5</v>
      </c>
      <c r="Z36" s="858">
        <f t="shared" si="1"/>
        <v>357</v>
      </c>
      <c r="AA36" s="785">
        <f t="shared" si="2"/>
        <v>71.4</v>
      </c>
      <c r="AB36" s="786">
        <f t="shared" si="3"/>
        <v>10.942577030812325</v>
      </c>
      <c r="AC36" s="799">
        <v>6837.5</v>
      </c>
      <c r="AD36" s="788">
        <f t="shared" si="6"/>
        <v>-0.4286654478976234</v>
      </c>
      <c r="AE36" s="789">
        <f t="shared" si="7"/>
        <v>7499</v>
      </c>
      <c r="AF36" s="790">
        <f t="shared" si="8"/>
        <v>612</v>
      </c>
      <c r="AG36" s="793">
        <v>11405.5</v>
      </c>
      <c r="AH36" s="824">
        <v>969</v>
      </c>
      <c r="AI36" s="791">
        <f t="shared" si="9"/>
        <v>0.3684210526315789</v>
      </c>
      <c r="AJ36" s="791">
        <f t="shared" si="10"/>
        <v>0.631578947368421</v>
      </c>
      <c r="AK36" s="790">
        <f t="shared" si="11"/>
        <v>193.8</v>
      </c>
      <c r="AL36" s="792">
        <f t="shared" si="12"/>
        <v>11.770381836945305</v>
      </c>
      <c r="AM36" s="797">
        <v>54330</v>
      </c>
      <c r="AN36" s="791"/>
      <c r="AO36" s="832">
        <v>202705.5</v>
      </c>
      <c r="AP36" s="833">
        <v>15754</v>
      </c>
      <c r="AQ36" s="794">
        <f t="shared" si="5"/>
        <v>12.866922686301892</v>
      </c>
      <c r="AR36" s="316">
        <v>40963</v>
      </c>
      <c r="AS36" s="509" t="s">
        <v>490</v>
      </c>
      <c r="AT36" s="60"/>
    </row>
    <row r="37" spans="1:46" s="10" customFormat="1" ht="15" customHeight="1">
      <c r="A37" s="368" t="s">
        <v>495</v>
      </c>
      <c r="B37" s="349"/>
      <c r="C37" s="352" t="s">
        <v>261</v>
      </c>
      <c r="D37" s="349"/>
      <c r="E37" s="349"/>
      <c r="F37" s="349"/>
      <c r="G37" s="360" t="s">
        <v>292</v>
      </c>
      <c r="H37" s="370"/>
      <c r="I37" s="495"/>
      <c r="J37" s="209" t="s">
        <v>221</v>
      </c>
      <c r="K37" s="61" t="s">
        <v>96</v>
      </c>
      <c r="L37" s="64" t="s">
        <v>95</v>
      </c>
      <c r="M37" s="64" t="s">
        <v>146</v>
      </c>
      <c r="N37" s="226">
        <v>40893</v>
      </c>
      <c r="O37" s="64" t="s">
        <v>10</v>
      </c>
      <c r="P37" s="263">
        <v>133</v>
      </c>
      <c r="Q37" s="221">
        <v>2</v>
      </c>
      <c r="R37" s="221">
        <v>11</v>
      </c>
      <c r="S37" s="842">
        <v>679</v>
      </c>
      <c r="T37" s="843">
        <v>105</v>
      </c>
      <c r="U37" s="842">
        <v>1186</v>
      </c>
      <c r="V37" s="843">
        <v>153</v>
      </c>
      <c r="W37" s="842">
        <v>1236</v>
      </c>
      <c r="X37" s="843">
        <v>159</v>
      </c>
      <c r="Y37" s="857">
        <f t="shared" si="0"/>
        <v>3101</v>
      </c>
      <c r="Z37" s="858">
        <f t="shared" si="1"/>
        <v>417</v>
      </c>
      <c r="AA37" s="785">
        <f t="shared" si="2"/>
        <v>208.5</v>
      </c>
      <c r="AB37" s="786">
        <f t="shared" si="3"/>
        <v>7.436450839328537</v>
      </c>
      <c r="AC37" s="799">
        <v>2617</v>
      </c>
      <c r="AD37" s="788">
        <f t="shared" si="6"/>
        <v>0.18494459304547192</v>
      </c>
      <c r="AE37" s="789">
        <f t="shared" si="7"/>
        <v>1315</v>
      </c>
      <c r="AF37" s="790">
        <f t="shared" si="8"/>
        <v>843</v>
      </c>
      <c r="AG37" s="827">
        <v>4416</v>
      </c>
      <c r="AH37" s="828">
        <v>1260</v>
      </c>
      <c r="AI37" s="791">
        <f t="shared" si="9"/>
        <v>0.33095238095238094</v>
      </c>
      <c r="AJ37" s="791">
        <f t="shared" si="10"/>
        <v>0.669047619047619</v>
      </c>
      <c r="AK37" s="790">
        <f t="shared" si="11"/>
        <v>630</v>
      </c>
      <c r="AL37" s="792">
        <f t="shared" si="12"/>
        <v>3.5047619047619047</v>
      </c>
      <c r="AM37" s="797">
        <v>22843</v>
      </c>
      <c r="AN37" s="791">
        <f>IF(AM37&lt;&gt;0,-(AM37-AG37)/AM37,"")</f>
        <v>-0.8066803834872828</v>
      </c>
      <c r="AO37" s="394">
        <v>7213469</v>
      </c>
      <c r="AP37" s="395">
        <v>713441</v>
      </c>
      <c r="AQ37" s="794">
        <f t="shared" si="5"/>
        <v>10.110813648220386</v>
      </c>
      <c r="AR37" s="316">
        <v>40963</v>
      </c>
      <c r="AS37" s="509" t="s">
        <v>498</v>
      </c>
      <c r="AT37" s="60"/>
    </row>
    <row r="38" spans="1:45" s="10" customFormat="1" ht="15" customHeight="1">
      <c r="A38" s="368" t="s">
        <v>496</v>
      </c>
      <c r="B38" s="369"/>
      <c r="C38" s="349"/>
      <c r="D38" s="349"/>
      <c r="E38" s="349"/>
      <c r="F38" s="349"/>
      <c r="G38" s="349"/>
      <c r="H38" s="350"/>
      <c r="I38" s="350"/>
      <c r="J38" s="207" t="s">
        <v>427</v>
      </c>
      <c r="K38" s="61" t="s">
        <v>126</v>
      </c>
      <c r="L38" s="66" t="s">
        <v>89</v>
      </c>
      <c r="M38" s="66" t="s">
        <v>428</v>
      </c>
      <c r="N38" s="226">
        <v>40928</v>
      </c>
      <c r="O38" s="64" t="s">
        <v>68</v>
      </c>
      <c r="P38" s="272">
        <v>55</v>
      </c>
      <c r="Q38" s="220">
        <v>5</v>
      </c>
      <c r="R38" s="220">
        <v>6</v>
      </c>
      <c r="S38" s="799">
        <v>533</v>
      </c>
      <c r="T38" s="839">
        <v>83</v>
      </c>
      <c r="U38" s="799">
        <v>1175.5</v>
      </c>
      <c r="V38" s="839">
        <v>168</v>
      </c>
      <c r="W38" s="799">
        <v>1123</v>
      </c>
      <c r="X38" s="839">
        <v>162</v>
      </c>
      <c r="Y38" s="857">
        <f t="shared" si="0"/>
        <v>2831.5</v>
      </c>
      <c r="Z38" s="858">
        <f t="shared" si="1"/>
        <v>413</v>
      </c>
      <c r="AA38" s="785">
        <f t="shared" si="2"/>
        <v>82.6</v>
      </c>
      <c r="AB38" s="786">
        <f t="shared" si="3"/>
        <v>6.8559322033898304</v>
      </c>
      <c r="AC38" s="796">
        <v>2897.5</v>
      </c>
      <c r="AD38" s="788">
        <f t="shared" si="6"/>
        <v>-0.022778257118205348</v>
      </c>
      <c r="AE38" s="789">
        <f t="shared" si="7"/>
        <v>2302.8199999999997</v>
      </c>
      <c r="AF38" s="790">
        <f t="shared" si="8"/>
        <v>560</v>
      </c>
      <c r="AG38" s="797">
        <v>5134.32</v>
      </c>
      <c r="AH38" s="829">
        <v>973</v>
      </c>
      <c r="AI38" s="791">
        <f t="shared" si="9"/>
        <v>0.4244604316546763</v>
      </c>
      <c r="AJ38" s="791">
        <f t="shared" si="10"/>
        <v>0.5755395683453237</v>
      </c>
      <c r="AK38" s="790">
        <f t="shared" si="11"/>
        <v>194.6</v>
      </c>
      <c r="AL38" s="792">
        <f t="shared" si="12"/>
        <v>5.276793422404933</v>
      </c>
      <c r="AM38" s="797">
        <v>32858.57</v>
      </c>
      <c r="AN38" s="791">
        <f>IF(AM38&lt;&gt;0,-(AM38-AG38)/AM38,"")</f>
        <v>-0.8437448738639569</v>
      </c>
      <c r="AO38" s="218">
        <v>573295.16</v>
      </c>
      <c r="AP38" s="819">
        <v>53815</v>
      </c>
      <c r="AQ38" s="794">
        <f t="shared" si="5"/>
        <v>10.65307367834247</v>
      </c>
      <c r="AR38" s="316">
        <v>40963</v>
      </c>
      <c r="AS38" s="509" t="s">
        <v>497</v>
      </c>
    </row>
    <row r="39" spans="1:45" s="10" customFormat="1" ht="15" customHeight="1">
      <c r="A39" s="368" t="s">
        <v>497</v>
      </c>
      <c r="B39" s="369"/>
      <c r="C39" s="349"/>
      <c r="D39" s="349"/>
      <c r="E39" s="349"/>
      <c r="F39" s="349"/>
      <c r="G39" s="349"/>
      <c r="H39" s="350"/>
      <c r="I39" s="353" t="s">
        <v>54</v>
      </c>
      <c r="J39" s="213" t="s">
        <v>660</v>
      </c>
      <c r="K39" s="61" t="s">
        <v>640</v>
      </c>
      <c r="L39" s="67" t="s">
        <v>138</v>
      </c>
      <c r="M39" s="65" t="s">
        <v>660</v>
      </c>
      <c r="N39" s="225">
        <v>40942</v>
      </c>
      <c r="O39" s="64" t="s">
        <v>53</v>
      </c>
      <c r="P39" s="280">
        <v>95</v>
      </c>
      <c r="Q39" s="834">
        <v>7</v>
      </c>
      <c r="R39" s="834">
        <v>4</v>
      </c>
      <c r="S39" s="805">
        <v>546</v>
      </c>
      <c r="T39" s="806">
        <v>58</v>
      </c>
      <c r="U39" s="805">
        <v>882.5</v>
      </c>
      <c r="V39" s="806">
        <v>107</v>
      </c>
      <c r="W39" s="805">
        <v>988.5</v>
      </c>
      <c r="X39" s="806">
        <v>115</v>
      </c>
      <c r="Y39" s="857">
        <f t="shared" si="0"/>
        <v>2417</v>
      </c>
      <c r="Z39" s="858">
        <f t="shared" si="1"/>
        <v>280</v>
      </c>
      <c r="AA39" s="785">
        <f t="shared" si="2"/>
        <v>40</v>
      </c>
      <c r="AB39" s="786">
        <f t="shared" si="3"/>
        <v>8.632142857142858</v>
      </c>
      <c r="AC39" s="787">
        <v>15818</v>
      </c>
      <c r="AD39" s="788">
        <f t="shared" si="6"/>
        <v>-0.8471993930964724</v>
      </c>
      <c r="AE39" s="789">
        <f t="shared" si="7"/>
        <v>22871.04</v>
      </c>
      <c r="AF39" s="790">
        <f t="shared" si="8"/>
        <v>2825</v>
      </c>
      <c r="AG39" s="793">
        <v>25288.04</v>
      </c>
      <c r="AH39" s="824">
        <v>3105</v>
      </c>
      <c r="AI39" s="791">
        <f t="shared" si="9"/>
        <v>0.09017713365539452</v>
      </c>
      <c r="AJ39" s="791">
        <f t="shared" si="10"/>
        <v>0.9098228663446055</v>
      </c>
      <c r="AK39" s="790">
        <f t="shared" si="11"/>
        <v>443.57142857142856</v>
      </c>
      <c r="AL39" s="792">
        <f t="shared" si="12"/>
        <v>8.144296296296297</v>
      </c>
      <c r="AM39" s="803">
        <v>124753.91</v>
      </c>
      <c r="AN39" s="791"/>
      <c r="AO39" s="835">
        <v>319352.05</v>
      </c>
      <c r="AP39" s="836">
        <v>37117</v>
      </c>
      <c r="AQ39" s="794">
        <f t="shared" si="5"/>
        <v>8.603929466282295</v>
      </c>
      <c r="AR39" s="316">
        <v>40963</v>
      </c>
      <c r="AS39" s="509" t="s">
        <v>485</v>
      </c>
    </row>
    <row r="40" spans="1:45" s="10" customFormat="1" ht="15" customHeight="1">
      <c r="A40" s="368" t="s">
        <v>498</v>
      </c>
      <c r="B40" s="349"/>
      <c r="C40" s="352" t="s">
        <v>261</v>
      </c>
      <c r="D40" s="349"/>
      <c r="E40" s="349"/>
      <c r="F40" s="364">
        <v>2</v>
      </c>
      <c r="G40" s="360" t="s">
        <v>292</v>
      </c>
      <c r="H40" s="350"/>
      <c r="I40" s="350"/>
      <c r="J40" s="211" t="s">
        <v>222</v>
      </c>
      <c r="K40" s="61" t="s">
        <v>213</v>
      </c>
      <c r="L40" s="62" t="s">
        <v>94</v>
      </c>
      <c r="M40" s="63" t="s">
        <v>222</v>
      </c>
      <c r="N40" s="226">
        <v>40900</v>
      </c>
      <c r="O40" s="64" t="s">
        <v>12</v>
      </c>
      <c r="P40" s="263">
        <v>184</v>
      </c>
      <c r="Q40" s="795">
        <v>3</v>
      </c>
      <c r="R40" s="795">
        <v>9</v>
      </c>
      <c r="S40" s="805">
        <v>789</v>
      </c>
      <c r="T40" s="806">
        <v>195</v>
      </c>
      <c r="U40" s="805">
        <v>513</v>
      </c>
      <c r="V40" s="806">
        <v>81</v>
      </c>
      <c r="W40" s="805">
        <v>513</v>
      </c>
      <c r="X40" s="806">
        <v>81</v>
      </c>
      <c r="Y40" s="857">
        <f t="shared" si="0"/>
        <v>1815</v>
      </c>
      <c r="Z40" s="858">
        <f t="shared" si="1"/>
        <v>357</v>
      </c>
      <c r="AA40" s="785">
        <f t="shared" si="2"/>
        <v>119</v>
      </c>
      <c r="AB40" s="786">
        <f t="shared" si="3"/>
        <v>5.084033613445378</v>
      </c>
      <c r="AC40" s="787">
        <v>728</v>
      </c>
      <c r="AD40" s="788">
        <f t="shared" si="6"/>
        <v>1.4931318681318682</v>
      </c>
      <c r="AE40" s="789">
        <f t="shared" si="7"/>
        <v>-224</v>
      </c>
      <c r="AF40" s="790">
        <f t="shared" si="8"/>
        <v>-111</v>
      </c>
      <c r="AG40" s="793">
        <v>1591</v>
      </c>
      <c r="AH40" s="824">
        <v>246</v>
      </c>
      <c r="AI40" s="791">
        <f t="shared" si="9"/>
        <v>1.451219512195122</v>
      </c>
      <c r="AJ40" s="791">
        <f t="shared" si="10"/>
        <v>-0.45121951219512196</v>
      </c>
      <c r="AK40" s="790">
        <f t="shared" si="11"/>
        <v>82</v>
      </c>
      <c r="AL40" s="792">
        <f t="shared" si="12"/>
        <v>6.467479674796748</v>
      </c>
      <c r="AM40" s="797">
        <v>9359</v>
      </c>
      <c r="AN40" s="791">
        <f>IF(AM40&lt;&gt;0,-(AM40-AG40)/AM40,"")</f>
        <v>-0.83000320547067</v>
      </c>
      <c r="AO40" s="815">
        <v>6378200</v>
      </c>
      <c r="AP40" s="818">
        <v>637244</v>
      </c>
      <c r="AQ40" s="794">
        <f t="shared" si="5"/>
        <v>10.009038923865898</v>
      </c>
      <c r="AR40" s="316">
        <v>40963</v>
      </c>
      <c r="AS40" s="509" t="s">
        <v>372</v>
      </c>
    </row>
    <row r="41" spans="1:45" s="10" customFormat="1" ht="15" customHeight="1">
      <c r="A41" s="368" t="s">
        <v>499</v>
      </c>
      <c r="B41" s="369"/>
      <c r="C41" s="349"/>
      <c r="D41" s="369"/>
      <c r="E41" s="369"/>
      <c r="F41" s="349"/>
      <c r="G41" s="369"/>
      <c r="H41" s="350"/>
      <c r="I41" s="351"/>
      <c r="J41" s="215" t="s">
        <v>630</v>
      </c>
      <c r="K41" s="61" t="s">
        <v>637</v>
      </c>
      <c r="L41" s="64" t="s">
        <v>273</v>
      </c>
      <c r="M41" s="64" t="s">
        <v>638</v>
      </c>
      <c r="N41" s="225">
        <v>40942</v>
      </c>
      <c r="O41" s="64" t="s">
        <v>332</v>
      </c>
      <c r="P41" s="263">
        <v>5</v>
      </c>
      <c r="Q41" s="220">
        <v>2</v>
      </c>
      <c r="R41" s="220">
        <v>3</v>
      </c>
      <c r="S41" s="783">
        <v>234</v>
      </c>
      <c r="T41" s="784">
        <v>21</v>
      </c>
      <c r="U41" s="783">
        <v>782</v>
      </c>
      <c r="V41" s="784">
        <v>71</v>
      </c>
      <c r="W41" s="783">
        <v>713</v>
      </c>
      <c r="X41" s="784">
        <v>64</v>
      </c>
      <c r="Y41" s="857">
        <f t="shared" si="0"/>
        <v>1729</v>
      </c>
      <c r="Z41" s="858">
        <f t="shared" si="1"/>
        <v>156</v>
      </c>
      <c r="AA41" s="785">
        <f t="shared" si="2"/>
        <v>78</v>
      </c>
      <c r="AB41" s="786">
        <f t="shared" si="3"/>
        <v>11.083333333333334</v>
      </c>
      <c r="AC41" s="799">
        <v>2554</v>
      </c>
      <c r="AD41" s="788">
        <f t="shared" si="6"/>
        <v>-0.3230227094753328</v>
      </c>
      <c r="AE41" s="789">
        <f t="shared" si="7"/>
        <v>2068</v>
      </c>
      <c r="AF41" s="790">
        <f t="shared" si="8"/>
        <v>227</v>
      </c>
      <c r="AG41" s="793">
        <v>3797</v>
      </c>
      <c r="AH41" s="824">
        <v>383</v>
      </c>
      <c r="AI41" s="791">
        <f t="shared" si="9"/>
        <v>0.4073107049608355</v>
      </c>
      <c r="AJ41" s="791">
        <f t="shared" si="10"/>
        <v>0.5926892950391645</v>
      </c>
      <c r="AK41" s="790">
        <f t="shared" si="11"/>
        <v>191.5</v>
      </c>
      <c r="AL41" s="792">
        <f t="shared" si="12"/>
        <v>9.913838120104439</v>
      </c>
      <c r="AM41" s="797">
        <v>32830.5</v>
      </c>
      <c r="AN41" s="791"/>
      <c r="AO41" s="832">
        <v>38356.5</v>
      </c>
      <c r="AP41" s="833">
        <v>2795</v>
      </c>
      <c r="AQ41" s="794">
        <f t="shared" si="5"/>
        <v>13.723255813953488</v>
      </c>
      <c r="AR41" s="316">
        <v>40963</v>
      </c>
      <c r="AS41" s="509" t="s">
        <v>508</v>
      </c>
    </row>
    <row r="42" spans="1:45" s="10" customFormat="1" ht="15" customHeight="1">
      <c r="A42" s="368" t="s">
        <v>500</v>
      </c>
      <c r="B42" s="344"/>
      <c r="C42" s="352" t="s">
        <v>261</v>
      </c>
      <c r="D42" s="369"/>
      <c r="E42" s="369"/>
      <c r="F42" s="349"/>
      <c r="G42" s="369"/>
      <c r="H42" s="350"/>
      <c r="I42" s="351"/>
      <c r="J42" s="215" t="s">
        <v>378</v>
      </c>
      <c r="K42" s="61" t="s">
        <v>377</v>
      </c>
      <c r="L42" s="64" t="s">
        <v>248</v>
      </c>
      <c r="M42" s="64" t="s">
        <v>379</v>
      </c>
      <c r="N42" s="225">
        <v>40893</v>
      </c>
      <c r="O42" s="64" t="s">
        <v>332</v>
      </c>
      <c r="P42" s="263">
        <v>8</v>
      </c>
      <c r="Q42" s="220">
        <v>2</v>
      </c>
      <c r="R42" s="220">
        <v>6</v>
      </c>
      <c r="S42" s="783">
        <v>270</v>
      </c>
      <c r="T42" s="784">
        <v>54</v>
      </c>
      <c r="U42" s="783">
        <v>700</v>
      </c>
      <c r="V42" s="784">
        <v>140</v>
      </c>
      <c r="W42" s="783">
        <v>750</v>
      </c>
      <c r="X42" s="784">
        <v>150</v>
      </c>
      <c r="Y42" s="857">
        <f t="shared" si="0"/>
        <v>1720</v>
      </c>
      <c r="Z42" s="858">
        <f t="shared" si="1"/>
        <v>344</v>
      </c>
      <c r="AA42" s="785">
        <f t="shared" si="2"/>
        <v>172</v>
      </c>
      <c r="AB42" s="786">
        <f t="shared" si="3"/>
        <v>5</v>
      </c>
      <c r="AC42" s="799">
        <v>452</v>
      </c>
      <c r="AD42" s="788">
        <f t="shared" si="6"/>
        <v>2.8053097345132745</v>
      </c>
      <c r="AE42" s="789">
        <f t="shared" si="7"/>
        <v>-586</v>
      </c>
      <c r="AF42" s="790">
        <f t="shared" si="8"/>
        <v>-234</v>
      </c>
      <c r="AG42" s="793">
        <v>1134</v>
      </c>
      <c r="AH42" s="824">
        <v>110</v>
      </c>
      <c r="AI42" s="791">
        <f t="shared" si="9"/>
        <v>3.1272727272727274</v>
      </c>
      <c r="AJ42" s="791">
        <f t="shared" si="10"/>
        <v>-2.1272727272727274</v>
      </c>
      <c r="AK42" s="790">
        <f t="shared" si="11"/>
        <v>55</v>
      </c>
      <c r="AL42" s="792">
        <f t="shared" si="12"/>
        <v>10.309090909090909</v>
      </c>
      <c r="AM42" s="797">
        <v>10431.5</v>
      </c>
      <c r="AN42" s="791">
        <f aca="true" t="shared" si="13" ref="AN42:AN53">IF(AM42&lt;&gt;0,-(AM42-AG42)/AM42,"")</f>
        <v>-0.8912908018980971</v>
      </c>
      <c r="AO42" s="832">
        <v>37829.5</v>
      </c>
      <c r="AP42" s="833">
        <v>3550</v>
      </c>
      <c r="AQ42" s="794">
        <f t="shared" si="5"/>
        <v>10.656197183098591</v>
      </c>
      <c r="AR42" s="316">
        <v>40963</v>
      </c>
      <c r="AS42" s="509" t="s">
        <v>349</v>
      </c>
    </row>
    <row r="43" spans="1:45" s="10" customFormat="1" ht="15" customHeight="1">
      <c r="A43" s="368" t="s">
        <v>501</v>
      </c>
      <c r="B43" s="349"/>
      <c r="C43" s="352" t="s">
        <v>261</v>
      </c>
      <c r="D43" s="349"/>
      <c r="E43" s="349"/>
      <c r="F43" s="349"/>
      <c r="G43" s="349"/>
      <c r="H43" s="370"/>
      <c r="I43" s="353" t="s">
        <v>54</v>
      </c>
      <c r="J43" s="209" t="s">
        <v>104</v>
      </c>
      <c r="K43" s="61" t="s">
        <v>105</v>
      </c>
      <c r="L43" s="64"/>
      <c r="M43" s="64" t="s">
        <v>104</v>
      </c>
      <c r="N43" s="226">
        <v>40872</v>
      </c>
      <c r="O43" s="64" t="s">
        <v>10</v>
      </c>
      <c r="P43" s="263">
        <v>277</v>
      </c>
      <c r="Q43" s="221">
        <v>1</v>
      </c>
      <c r="R43" s="221">
        <v>14</v>
      </c>
      <c r="S43" s="842">
        <v>432</v>
      </c>
      <c r="T43" s="843">
        <v>108</v>
      </c>
      <c r="U43" s="842">
        <v>608</v>
      </c>
      <c r="V43" s="843">
        <v>152</v>
      </c>
      <c r="W43" s="842">
        <v>648</v>
      </c>
      <c r="X43" s="843">
        <v>162</v>
      </c>
      <c r="Y43" s="857">
        <f aca="true" t="shared" si="14" ref="Y43:Y75">SUM(S43+U43+W43)</f>
        <v>1688</v>
      </c>
      <c r="Z43" s="858">
        <f aca="true" t="shared" si="15" ref="Z43:Z72">T43+V43+X43</f>
        <v>422</v>
      </c>
      <c r="AA43" s="785">
        <f aca="true" t="shared" si="16" ref="AA43:AA74">IF(Y43&lt;&gt;0,Z43/Q43,"")</f>
        <v>422</v>
      </c>
      <c r="AB43" s="786">
        <f aca="true" t="shared" si="17" ref="AB43:AB69">IF(Y43&lt;&gt;0,Y43/Z43,"")</f>
        <v>4</v>
      </c>
      <c r="AC43" s="799">
        <v>4337</v>
      </c>
      <c r="AD43" s="788">
        <f t="shared" si="6"/>
        <v>-0.6107908692644686</v>
      </c>
      <c r="AE43" s="789">
        <f t="shared" si="7"/>
        <v>5452</v>
      </c>
      <c r="AF43" s="790">
        <f t="shared" si="8"/>
        <v>1244</v>
      </c>
      <c r="AG43" s="827">
        <v>7140</v>
      </c>
      <c r="AH43" s="828">
        <v>1666</v>
      </c>
      <c r="AI43" s="791">
        <f t="shared" si="9"/>
        <v>0.2533013205282113</v>
      </c>
      <c r="AJ43" s="791">
        <f t="shared" si="10"/>
        <v>0.7466986794717887</v>
      </c>
      <c r="AK43" s="790">
        <f t="shared" si="11"/>
        <v>1666</v>
      </c>
      <c r="AL43" s="792">
        <f t="shared" si="12"/>
        <v>4.285714285714286</v>
      </c>
      <c r="AM43" s="797">
        <v>3968</v>
      </c>
      <c r="AN43" s="791">
        <f t="shared" si="13"/>
        <v>0.7993951612903226</v>
      </c>
      <c r="AO43" s="394">
        <v>10947587</v>
      </c>
      <c r="AP43" s="395">
        <v>1172611</v>
      </c>
      <c r="AQ43" s="794">
        <f aca="true" t="shared" si="18" ref="AQ43:AQ74">AO43/AP43</f>
        <v>9.33607735216538</v>
      </c>
      <c r="AR43" s="316">
        <v>40963</v>
      </c>
      <c r="AS43" s="509" t="s">
        <v>494</v>
      </c>
    </row>
    <row r="44" spans="1:46" s="10" customFormat="1" ht="15" customHeight="1">
      <c r="A44" s="368" t="s">
        <v>502</v>
      </c>
      <c r="B44" s="349"/>
      <c r="C44" s="349"/>
      <c r="D44" s="369"/>
      <c r="E44" s="369"/>
      <c r="F44" s="349"/>
      <c r="G44" s="369"/>
      <c r="H44" s="350"/>
      <c r="I44" s="351"/>
      <c r="J44" s="215" t="s">
        <v>557</v>
      </c>
      <c r="K44" s="61" t="s">
        <v>558</v>
      </c>
      <c r="L44" s="64" t="s">
        <v>99</v>
      </c>
      <c r="M44" s="64" t="s">
        <v>556</v>
      </c>
      <c r="N44" s="225">
        <v>40935</v>
      </c>
      <c r="O44" s="64" t="s">
        <v>52</v>
      </c>
      <c r="P44" s="284">
        <v>57</v>
      </c>
      <c r="Q44" s="798">
        <v>5</v>
      </c>
      <c r="R44" s="798">
        <v>5</v>
      </c>
      <c r="S44" s="783">
        <v>360</v>
      </c>
      <c r="T44" s="784">
        <v>51</v>
      </c>
      <c r="U44" s="783">
        <v>614</v>
      </c>
      <c r="V44" s="784">
        <v>84</v>
      </c>
      <c r="W44" s="783">
        <v>631</v>
      </c>
      <c r="X44" s="784">
        <v>93</v>
      </c>
      <c r="Y44" s="857">
        <f t="shared" si="14"/>
        <v>1605</v>
      </c>
      <c r="Z44" s="858">
        <f t="shared" si="15"/>
        <v>228</v>
      </c>
      <c r="AA44" s="785">
        <f t="shared" si="16"/>
        <v>45.6</v>
      </c>
      <c r="AB44" s="786">
        <f t="shared" si="17"/>
        <v>7.0394736842105265</v>
      </c>
      <c r="AC44" s="799">
        <v>5674</v>
      </c>
      <c r="AD44" s="788">
        <f t="shared" si="6"/>
        <v>-0.7171307719421924</v>
      </c>
      <c r="AE44" s="789">
        <f t="shared" si="7"/>
        <v>7638.92</v>
      </c>
      <c r="AF44" s="790">
        <f t="shared" si="8"/>
        <v>1020</v>
      </c>
      <c r="AG44" s="793">
        <v>9243.92</v>
      </c>
      <c r="AH44" s="824">
        <v>1248</v>
      </c>
      <c r="AI44" s="791">
        <f t="shared" si="9"/>
        <v>0.18269230769230768</v>
      </c>
      <c r="AJ44" s="791">
        <f t="shared" si="10"/>
        <v>0.8173076923076923</v>
      </c>
      <c r="AK44" s="790">
        <f t="shared" si="11"/>
        <v>249.6</v>
      </c>
      <c r="AL44" s="792">
        <f t="shared" si="12"/>
        <v>7.40698717948718</v>
      </c>
      <c r="AM44" s="797">
        <v>36948.92</v>
      </c>
      <c r="AN44" s="791">
        <f t="shared" si="13"/>
        <v>-0.7498189392274525</v>
      </c>
      <c r="AO44" s="801">
        <v>278256.76</v>
      </c>
      <c r="AP44" s="802">
        <v>35536</v>
      </c>
      <c r="AQ44" s="794">
        <f t="shared" si="18"/>
        <v>7.830278027915353</v>
      </c>
      <c r="AR44" s="316">
        <v>40963</v>
      </c>
      <c r="AS44" s="509" t="s">
        <v>493</v>
      </c>
      <c r="AT44" s="258"/>
    </row>
    <row r="45" spans="1:46" s="10" customFormat="1" ht="15" customHeight="1">
      <c r="A45" s="368" t="s">
        <v>503</v>
      </c>
      <c r="B45" s="348"/>
      <c r="C45" s="349"/>
      <c r="D45" s="349"/>
      <c r="E45" s="356">
        <v>3</v>
      </c>
      <c r="F45" s="349"/>
      <c r="G45" s="349"/>
      <c r="H45" s="350"/>
      <c r="I45" s="350"/>
      <c r="J45" s="207" t="s">
        <v>345</v>
      </c>
      <c r="K45" s="61" t="s">
        <v>126</v>
      </c>
      <c r="L45" s="66" t="s">
        <v>89</v>
      </c>
      <c r="M45" s="66" t="s">
        <v>352</v>
      </c>
      <c r="N45" s="226">
        <v>40914</v>
      </c>
      <c r="O45" s="64" t="s">
        <v>68</v>
      </c>
      <c r="P45" s="263">
        <v>66</v>
      </c>
      <c r="Q45" s="220">
        <v>3</v>
      </c>
      <c r="R45" s="220">
        <v>8</v>
      </c>
      <c r="S45" s="799">
        <v>126</v>
      </c>
      <c r="T45" s="839">
        <v>18</v>
      </c>
      <c r="U45" s="799">
        <v>714</v>
      </c>
      <c r="V45" s="839">
        <v>102</v>
      </c>
      <c r="W45" s="799">
        <v>632</v>
      </c>
      <c r="X45" s="839">
        <v>90</v>
      </c>
      <c r="Y45" s="857">
        <f t="shared" si="14"/>
        <v>1472</v>
      </c>
      <c r="Z45" s="858">
        <f t="shared" si="15"/>
        <v>210</v>
      </c>
      <c r="AA45" s="785">
        <f t="shared" si="16"/>
        <v>70</v>
      </c>
      <c r="AB45" s="786">
        <f t="shared" si="17"/>
        <v>7.0095238095238095</v>
      </c>
      <c r="AC45" s="796">
        <v>2870</v>
      </c>
      <c r="AD45" s="788">
        <f t="shared" si="6"/>
        <v>-0.4871080139372822</v>
      </c>
      <c r="AE45" s="789">
        <f t="shared" si="7"/>
        <v>5251.58</v>
      </c>
      <c r="AF45" s="790">
        <f t="shared" si="8"/>
        <v>850</v>
      </c>
      <c r="AG45" s="797">
        <v>6723.58</v>
      </c>
      <c r="AH45" s="829">
        <v>1060</v>
      </c>
      <c r="AI45" s="791">
        <f t="shared" si="9"/>
        <v>0.19811320754716982</v>
      </c>
      <c r="AJ45" s="791">
        <f t="shared" si="10"/>
        <v>0.8018867924528302</v>
      </c>
      <c r="AK45" s="790">
        <f t="shared" si="11"/>
        <v>353.3333333333333</v>
      </c>
      <c r="AL45" s="792">
        <f t="shared" si="12"/>
        <v>6.343</v>
      </c>
      <c r="AM45" s="797">
        <v>24918.21</v>
      </c>
      <c r="AN45" s="791">
        <f t="shared" si="13"/>
        <v>-0.7301740373806946</v>
      </c>
      <c r="AO45" s="218">
        <v>1386042.74</v>
      </c>
      <c r="AP45" s="819">
        <v>136752</v>
      </c>
      <c r="AQ45" s="794">
        <f t="shared" si="18"/>
        <v>10.135447671697671</v>
      </c>
      <c r="AR45" s="316">
        <v>40963</v>
      </c>
      <c r="AS45" s="509" t="s">
        <v>495</v>
      </c>
      <c r="AT45" s="60"/>
    </row>
    <row r="46" spans="1:46" s="10" customFormat="1" ht="15" customHeight="1">
      <c r="A46" s="368" t="s">
        <v>504</v>
      </c>
      <c r="B46" s="348"/>
      <c r="C46" s="349"/>
      <c r="D46" s="361" t="s">
        <v>223</v>
      </c>
      <c r="E46" s="349"/>
      <c r="F46" s="349"/>
      <c r="G46" s="349"/>
      <c r="H46" s="350"/>
      <c r="I46" s="350"/>
      <c r="J46" s="207" t="s">
        <v>344</v>
      </c>
      <c r="K46" s="61" t="s">
        <v>126</v>
      </c>
      <c r="L46" s="66" t="s">
        <v>89</v>
      </c>
      <c r="M46" s="66" t="s">
        <v>351</v>
      </c>
      <c r="N46" s="226">
        <v>40914</v>
      </c>
      <c r="O46" s="64" t="s">
        <v>68</v>
      </c>
      <c r="P46" s="263">
        <v>56</v>
      </c>
      <c r="Q46" s="220">
        <v>4</v>
      </c>
      <c r="R46" s="220">
        <v>8</v>
      </c>
      <c r="S46" s="799">
        <v>113.5</v>
      </c>
      <c r="T46" s="839">
        <v>14</v>
      </c>
      <c r="U46" s="799">
        <v>658</v>
      </c>
      <c r="V46" s="839">
        <v>77</v>
      </c>
      <c r="W46" s="799">
        <v>602</v>
      </c>
      <c r="X46" s="839">
        <v>72</v>
      </c>
      <c r="Y46" s="857">
        <f t="shared" si="14"/>
        <v>1373.5</v>
      </c>
      <c r="Z46" s="858">
        <f t="shared" si="15"/>
        <v>163</v>
      </c>
      <c r="AA46" s="785">
        <f t="shared" si="16"/>
        <v>40.75</v>
      </c>
      <c r="AB46" s="786">
        <f t="shared" si="17"/>
        <v>8.42638036809816</v>
      </c>
      <c r="AC46" s="796">
        <v>3638.5</v>
      </c>
      <c r="AD46" s="788">
        <f t="shared" si="6"/>
        <v>-0.6225092758004672</v>
      </c>
      <c r="AE46" s="789">
        <f t="shared" si="7"/>
        <v>11147</v>
      </c>
      <c r="AF46" s="790">
        <f t="shared" si="8"/>
        <v>2304</v>
      </c>
      <c r="AG46" s="797">
        <v>12520.5</v>
      </c>
      <c r="AH46" s="829">
        <v>2467</v>
      </c>
      <c r="AI46" s="791">
        <f t="shared" si="9"/>
        <v>0.06607215241183624</v>
      </c>
      <c r="AJ46" s="791">
        <f t="shared" si="10"/>
        <v>0.9339278475881637</v>
      </c>
      <c r="AK46" s="790">
        <f t="shared" si="11"/>
        <v>616.75</v>
      </c>
      <c r="AL46" s="792">
        <f t="shared" si="12"/>
        <v>5.075192541548439</v>
      </c>
      <c r="AM46" s="797">
        <v>22564.8</v>
      </c>
      <c r="AN46" s="791">
        <f t="shared" si="13"/>
        <v>-0.4451313550308445</v>
      </c>
      <c r="AO46" s="218">
        <v>698279.66</v>
      </c>
      <c r="AP46" s="819">
        <v>72635</v>
      </c>
      <c r="AQ46" s="794">
        <f t="shared" si="18"/>
        <v>9.613542507055827</v>
      </c>
      <c r="AR46" s="316">
        <v>40963</v>
      </c>
      <c r="AS46" s="509" t="s">
        <v>488</v>
      </c>
      <c r="AT46" s="60"/>
    </row>
    <row r="47" spans="1:46" s="10" customFormat="1" ht="15" customHeight="1">
      <c r="A47" s="368" t="s">
        <v>505</v>
      </c>
      <c r="B47" s="348"/>
      <c r="C47" s="352" t="s">
        <v>261</v>
      </c>
      <c r="D47" s="355"/>
      <c r="E47" s="356">
        <v>3</v>
      </c>
      <c r="F47" s="349"/>
      <c r="G47" s="349"/>
      <c r="H47" s="350"/>
      <c r="I47" s="350"/>
      <c r="J47" s="213" t="s">
        <v>147</v>
      </c>
      <c r="K47" s="64" t="s">
        <v>166</v>
      </c>
      <c r="L47" s="64" t="s">
        <v>99</v>
      </c>
      <c r="M47" s="64" t="s">
        <v>153</v>
      </c>
      <c r="N47" s="225">
        <v>40900</v>
      </c>
      <c r="O47" s="64" t="s">
        <v>52</v>
      </c>
      <c r="P47" s="284">
        <v>69</v>
      </c>
      <c r="Q47" s="798">
        <v>1</v>
      </c>
      <c r="R47" s="798">
        <v>5</v>
      </c>
      <c r="S47" s="783">
        <v>185</v>
      </c>
      <c r="T47" s="784">
        <v>18</v>
      </c>
      <c r="U47" s="783">
        <v>776</v>
      </c>
      <c r="V47" s="784">
        <v>77</v>
      </c>
      <c r="W47" s="783">
        <v>364</v>
      </c>
      <c r="X47" s="784">
        <v>36</v>
      </c>
      <c r="Y47" s="857">
        <f t="shared" si="14"/>
        <v>1325</v>
      </c>
      <c r="Z47" s="858">
        <f t="shared" si="15"/>
        <v>131</v>
      </c>
      <c r="AA47" s="785">
        <f t="shared" si="16"/>
        <v>131</v>
      </c>
      <c r="AB47" s="786">
        <f t="shared" si="17"/>
        <v>10.114503816793894</v>
      </c>
      <c r="AC47" s="787"/>
      <c r="AD47" s="788">
        <f t="shared" si="6"/>
      </c>
      <c r="AE47" s="789">
        <f t="shared" si="7"/>
        <v>244</v>
      </c>
      <c r="AF47" s="790">
        <f t="shared" si="8"/>
        <v>76</v>
      </c>
      <c r="AG47" s="837">
        <v>1569</v>
      </c>
      <c r="AH47" s="838">
        <v>207</v>
      </c>
      <c r="AI47" s="791">
        <f t="shared" si="9"/>
        <v>0.6328502415458938</v>
      </c>
      <c r="AJ47" s="791">
        <f t="shared" si="10"/>
        <v>0.3671497584541063</v>
      </c>
      <c r="AK47" s="790">
        <f t="shared" si="11"/>
        <v>207</v>
      </c>
      <c r="AL47" s="792">
        <f t="shared" si="12"/>
        <v>7.579710144927536</v>
      </c>
      <c r="AM47" s="793">
        <v>4174</v>
      </c>
      <c r="AN47" s="791">
        <f t="shared" si="13"/>
        <v>-0.6241015812170579</v>
      </c>
      <c r="AO47" s="801">
        <v>355179</v>
      </c>
      <c r="AP47" s="802">
        <v>35531</v>
      </c>
      <c r="AQ47" s="794">
        <f t="shared" si="18"/>
        <v>9.996313078719991</v>
      </c>
      <c r="AR47" s="316">
        <v>40963</v>
      </c>
      <c r="AS47" s="509" t="s">
        <v>349</v>
      </c>
      <c r="AT47" s="60"/>
    </row>
    <row r="48" spans="1:46" s="10" customFormat="1" ht="15" customHeight="1">
      <c r="A48" s="368" t="s">
        <v>506</v>
      </c>
      <c r="B48" s="348"/>
      <c r="C48" s="352" t="s">
        <v>261</v>
      </c>
      <c r="D48" s="349"/>
      <c r="E48" s="349"/>
      <c r="F48" s="349"/>
      <c r="G48" s="349"/>
      <c r="H48" s="350"/>
      <c r="I48" s="351"/>
      <c r="J48" s="215" t="s">
        <v>156</v>
      </c>
      <c r="K48" s="64" t="s">
        <v>129</v>
      </c>
      <c r="L48" s="64" t="s">
        <v>79</v>
      </c>
      <c r="M48" s="64" t="s">
        <v>130</v>
      </c>
      <c r="N48" s="225">
        <v>40893</v>
      </c>
      <c r="O48" s="64" t="s">
        <v>13</v>
      </c>
      <c r="P48" s="263">
        <v>2</v>
      </c>
      <c r="Q48" s="220">
        <v>1</v>
      </c>
      <c r="R48" s="220">
        <v>7</v>
      </c>
      <c r="S48" s="783">
        <v>250</v>
      </c>
      <c r="T48" s="784">
        <v>50</v>
      </c>
      <c r="U48" s="783">
        <v>500</v>
      </c>
      <c r="V48" s="784">
        <v>100</v>
      </c>
      <c r="W48" s="783">
        <v>500</v>
      </c>
      <c r="X48" s="784">
        <v>100</v>
      </c>
      <c r="Y48" s="857">
        <f t="shared" si="14"/>
        <v>1250</v>
      </c>
      <c r="Z48" s="858">
        <f t="shared" si="15"/>
        <v>250</v>
      </c>
      <c r="AA48" s="785">
        <f t="shared" si="16"/>
        <v>250</v>
      </c>
      <c r="AB48" s="786">
        <f t="shared" si="17"/>
        <v>5</v>
      </c>
      <c r="AC48" s="787">
        <v>500</v>
      </c>
      <c r="AD48" s="788">
        <f t="shared" si="6"/>
        <v>1.5</v>
      </c>
      <c r="AE48" s="789">
        <f t="shared" si="7"/>
        <v>260</v>
      </c>
      <c r="AF48" s="790">
        <f t="shared" si="8"/>
        <v>52</v>
      </c>
      <c r="AG48" s="793">
        <v>1510</v>
      </c>
      <c r="AH48" s="824">
        <v>302</v>
      </c>
      <c r="AI48" s="791">
        <f t="shared" si="9"/>
        <v>0.8278145695364238</v>
      </c>
      <c r="AJ48" s="791">
        <f t="shared" si="10"/>
        <v>0.17218543046357615</v>
      </c>
      <c r="AK48" s="790">
        <f t="shared" si="11"/>
        <v>302</v>
      </c>
      <c r="AL48" s="792">
        <f t="shared" si="12"/>
        <v>5</v>
      </c>
      <c r="AM48" s="793">
        <v>957</v>
      </c>
      <c r="AN48" s="791">
        <f t="shared" si="13"/>
        <v>0.5778474399164054</v>
      </c>
      <c r="AO48" s="832">
        <v>14214</v>
      </c>
      <c r="AP48" s="833">
        <v>1560</v>
      </c>
      <c r="AQ48" s="794">
        <f t="shared" si="18"/>
        <v>9.111538461538462</v>
      </c>
      <c r="AR48" s="316">
        <v>40963</v>
      </c>
      <c r="AS48" s="509" t="s">
        <v>514</v>
      </c>
      <c r="AT48" s="60"/>
    </row>
    <row r="49" spans="1:46" s="10" customFormat="1" ht="15" customHeight="1">
      <c r="A49" s="368" t="s">
        <v>507</v>
      </c>
      <c r="B49" s="369"/>
      <c r="C49" s="349"/>
      <c r="D49" s="369"/>
      <c r="E49" s="369"/>
      <c r="F49" s="349"/>
      <c r="G49" s="369"/>
      <c r="H49" s="350"/>
      <c r="I49" s="351"/>
      <c r="J49" s="215" t="s">
        <v>374</v>
      </c>
      <c r="K49" s="61" t="s">
        <v>376</v>
      </c>
      <c r="L49" s="64" t="s">
        <v>260</v>
      </c>
      <c r="M49" s="64" t="s">
        <v>375</v>
      </c>
      <c r="N49" s="225">
        <v>40921</v>
      </c>
      <c r="O49" s="64" t="s">
        <v>332</v>
      </c>
      <c r="P49" s="263">
        <v>16</v>
      </c>
      <c r="Q49" s="220">
        <v>2</v>
      </c>
      <c r="R49" s="220">
        <v>6</v>
      </c>
      <c r="S49" s="783">
        <v>130</v>
      </c>
      <c r="T49" s="784">
        <v>26</v>
      </c>
      <c r="U49" s="783">
        <v>425</v>
      </c>
      <c r="V49" s="784">
        <v>85</v>
      </c>
      <c r="W49" s="783">
        <v>355</v>
      </c>
      <c r="X49" s="784">
        <v>71</v>
      </c>
      <c r="Y49" s="857">
        <f t="shared" si="14"/>
        <v>910</v>
      </c>
      <c r="Z49" s="858">
        <f t="shared" si="15"/>
        <v>182</v>
      </c>
      <c r="AA49" s="785">
        <f t="shared" si="16"/>
        <v>91</v>
      </c>
      <c r="AB49" s="786">
        <f t="shared" si="17"/>
        <v>5</v>
      </c>
      <c r="AC49" s="799">
        <v>8082</v>
      </c>
      <c r="AD49" s="788">
        <f t="shared" si="6"/>
        <v>-0.8874041078940856</v>
      </c>
      <c r="AE49" s="789">
        <f t="shared" si="7"/>
        <v>13795</v>
      </c>
      <c r="AF49" s="790">
        <f t="shared" si="8"/>
        <v>1727</v>
      </c>
      <c r="AG49" s="793">
        <v>14705</v>
      </c>
      <c r="AH49" s="824">
        <v>1909</v>
      </c>
      <c r="AI49" s="791">
        <f t="shared" si="9"/>
        <v>0.09533787323205867</v>
      </c>
      <c r="AJ49" s="791">
        <f t="shared" si="10"/>
        <v>0.9046621267679413</v>
      </c>
      <c r="AK49" s="790">
        <f t="shared" si="11"/>
        <v>954.5</v>
      </c>
      <c r="AL49" s="792">
        <f t="shared" si="12"/>
        <v>7.702985856469356</v>
      </c>
      <c r="AM49" s="797">
        <v>9248.5</v>
      </c>
      <c r="AN49" s="791">
        <f t="shared" si="13"/>
        <v>0.5899875655511705</v>
      </c>
      <c r="AO49" s="832">
        <v>146295</v>
      </c>
      <c r="AP49" s="833">
        <v>12999</v>
      </c>
      <c r="AQ49" s="794">
        <f t="shared" si="18"/>
        <v>11.254327255942766</v>
      </c>
      <c r="AR49" s="316">
        <v>40963</v>
      </c>
      <c r="AS49" s="509" t="s">
        <v>498</v>
      </c>
      <c r="AT49" s="60"/>
    </row>
    <row r="50" spans="1:46" s="10" customFormat="1" ht="15" customHeight="1">
      <c r="A50" s="368" t="s">
        <v>508</v>
      </c>
      <c r="B50" s="349"/>
      <c r="C50" s="349"/>
      <c r="D50" s="349"/>
      <c r="E50" s="349"/>
      <c r="F50" s="349"/>
      <c r="G50" s="349"/>
      <c r="H50" s="370"/>
      <c r="I50" s="351"/>
      <c r="J50" s="215" t="s">
        <v>391</v>
      </c>
      <c r="K50" s="61" t="s">
        <v>93</v>
      </c>
      <c r="L50" s="62" t="s">
        <v>95</v>
      </c>
      <c r="M50" s="64" t="s">
        <v>392</v>
      </c>
      <c r="N50" s="225">
        <v>40556</v>
      </c>
      <c r="O50" s="64" t="s">
        <v>10</v>
      </c>
      <c r="P50" s="263">
        <v>85</v>
      </c>
      <c r="Q50" s="221">
        <v>4</v>
      </c>
      <c r="R50" s="221">
        <v>7</v>
      </c>
      <c r="S50" s="842">
        <v>178</v>
      </c>
      <c r="T50" s="843">
        <v>23</v>
      </c>
      <c r="U50" s="842">
        <v>376</v>
      </c>
      <c r="V50" s="843">
        <v>52</v>
      </c>
      <c r="W50" s="842">
        <v>302</v>
      </c>
      <c r="X50" s="843">
        <v>37</v>
      </c>
      <c r="Y50" s="857">
        <f t="shared" si="14"/>
        <v>856</v>
      </c>
      <c r="Z50" s="858">
        <f t="shared" si="15"/>
        <v>112</v>
      </c>
      <c r="AA50" s="785">
        <f t="shared" si="16"/>
        <v>28</v>
      </c>
      <c r="AB50" s="786">
        <f t="shared" si="17"/>
        <v>7.642857142857143</v>
      </c>
      <c r="AC50" s="787">
        <v>6282</v>
      </c>
      <c r="AD50" s="788">
        <f t="shared" si="6"/>
        <v>-0.8637376631645972</v>
      </c>
      <c r="AE50" s="789">
        <f t="shared" si="7"/>
        <v>9325</v>
      </c>
      <c r="AF50" s="790">
        <f t="shared" si="8"/>
        <v>1202</v>
      </c>
      <c r="AG50" s="827">
        <v>10181</v>
      </c>
      <c r="AH50" s="828">
        <v>1314</v>
      </c>
      <c r="AI50" s="791">
        <f t="shared" si="9"/>
        <v>0.0852359208523592</v>
      </c>
      <c r="AJ50" s="791">
        <f t="shared" si="10"/>
        <v>0.9147640791476408</v>
      </c>
      <c r="AK50" s="790">
        <f t="shared" si="11"/>
        <v>328.5</v>
      </c>
      <c r="AL50" s="792">
        <f t="shared" si="12"/>
        <v>7.748097412480974</v>
      </c>
      <c r="AM50" s="793">
        <v>50830</v>
      </c>
      <c r="AN50" s="791">
        <f t="shared" si="13"/>
        <v>-0.7997048986818808</v>
      </c>
      <c r="AO50" s="394">
        <v>1963335</v>
      </c>
      <c r="AP50" s="395">
        <v>177733</v>
      </c>
      <c r="AQ50" s="794">
        <f t="shared" si="18"/>
        <v>11.046541722696404</v>
      </c>
      <c r="AR50" s="316">
        <v>40963</v>
      </c>
      <c r="AS50" s="509" t="s">
        <v>492</v>
      </c>
      <c r="AT50" s="60"/>
    </row>
    <row r="51" spans="1:45" s="10" customFormat="1" ht="15" customHeight="1">
      <c r="A51" s="368" t="s">
        <v>509</v>
      </c>
      <c r="B51" s="349"/>
      <c r="C51" s="352" t="s">
        <v>261</v>
      </c>
      <c r="D51" s="361" t="s">
        <v>223</v>
      </c>
      <c r="E51" s="356">
        <v>3</v>
      </c>
      <c r="F51" s="349"/>
      <c r="G51" s="369"/>
      <c r="H51" s="354" t="s">
        <v>55</v>
      </c>
      <c r="I51" s="350"/>
      <c r="J51" s="207" t="s">
        <v>220</v>
      </c>
      <c r="K51" s="66" t="s">
        <v>93</v>
      </c>
      <c r="L51" s="64" t="s">
        <v>95</v>
      </c>
      <c r="M51" s="66" t="s">
        <v>60</v>
      </c>
      <c r="N51" s="225">
        <v>40760</v>
      </c>
      <c r="O51" s="64" t="s">
        <v>10</v>
      </c>
      <c r="P51" s="287">
        <v>184</v>
      </c>
      <c r="Q51" s="221">
        <v>1</v>
      </c>
      <c r="R51" s="221">
        <v>30</v>
      </c>
      <c r="S51" s="842">
        <v>230</v>
      </c>
      <c r="T51" s="843">
        <v>46</v>
      </c>
      <c r="U51" s="842">
        <v>305</v>
      </c>
      <c r="V51" s="843">
        <v>61</v>
      </c>
      <c r="W51" s="842">
        <v>275</v>
      </c>
      <c r="X51" s="843">
        <v>55</v>
      </c>
      <c r="Y51" s="857">
        <f t="shared" si="14"/>
        <v>810</v>
      </c>
      <c r="Z51" s="858">
        <f t="shared" si="15"/>
        <v>162</v>
      </c>
      <c r="AA51" s="785">
        <f t="shared" si="16"/>
        <v>162</v>
      </c>
      <c r="AB51" s="786">
        <f t="shared" si="17"/>
        <v>5</v>
      </c>
      <c r="AC51" s="787">
        <v>1654</v>
      </c>
      <c r="AD51" s="788">
        <f t="shared" si="6"/>
        <v>-0.5102781136638452</v>
      </c>
      <c r="AE51" s="789">
        <f t="shared" si="7"/>
        <v>1568</v>
      </c>
      <c r="AF51" s="790">
        <f t="shared" si="8"/>
        <v>373</v>
      </c>
      <c r="AG51" s="827">
        <v>2378</v>
      </c>
      <c r="AH51" s="828">
        <v>535</v>
      </c>
      <c r="AI51" s="791">
        <f t="shared" si="9"/>
        <v>0.30280373831775703</v>
      </c>
      <c r="AJ51" s="791">
        <f t="shared" si="10"/>
        <v>0.697196261682243</v>
      </c>
      <c r="AK51" s="790">
        <f t="shared" si="11"/>
        <v>535</v>
      </c>
      <c r="AL51" s="792">
        <f t="shared" si="12"/>
        <v>4.444859813084112</v>
      </c>
      <c r="AM51" s="797">
        <v>2152</v>
      </c>
      <c r="AN51" s="791">
        <f t="shared" si="13"/>
        <v>0.1050185873605948</v>
      </c>
      <c r="AO51" s="394">
        <v>11529370</v>
      </c>
      <c r="AP51" s="395">
        <v>1147536</v>
      </c>
      <c r="AQ51" s="794">
        <f t="shared" si="18"/>
        <v>10.047066061544038</v>
      </c>
      <c r="AR51" s="316">
        <v>40963</v>
      </c>
      <c r="AS51" s="509" t="s">
        <v>504</v>
      </c>
    </row>
    <row r="52" spans="1:45" s="10" customFormat="1" ht="15" customHeight="1">
      <c r="A52" s="368" t="s">
        <v>510</v>
      </c>
      <c r="B52" s="349"/>
      <c r="C52" s="352" t="s">
        <v>261</v>
      </c>
      <c r="D52" s="361" t="s">
        <v>223</v>
      </c>
      <c r="E52" s="355"/>
      <c r="F52" s="349"/>
      <c r="G52" s="360" t="s">
        <v>292</v>
      </c>
      <c r="H52" s="354" t="s">
        <v>55</v>
      </c>
      <c r="I52" s="350"/>
      <c r="J52" s="216" t="s">
        <v>49</v>
      </c>
      <c r="K52" s="62" t="s">
        <v>92</v>
      </c>
      <c r="L52" s="62" t="s">
        <v>94</v>
      </c>
      <c r="M52" s="65" t="s">
        <v>59</v>
      </c>
      <c r="N52" s="225">
        <v>40774</v>
      </c>
      <c r="O52" s="64" t="s">
        <v>12</v>
      </c>
      <c r="P52" s="263">
        <v>123</v>
      </c>
      <c r="Q52" s="795">
        <v>1</v>
      </c>
      <c r="R52" s="795">
        <v>28</v>
      </c>
      <c r="S52" s="805">
        <v>171</v>
      </c>
      <c r="T52" s="806">
        <v>27</v>
      </c>
      <c r="U52" s="805">
        <v>171</v>
      </c>
      <c r="V52" s="806">
        <v>27</v>
      </c>
      <c r="W52" s="805">
        <v>171</v>
      </c>
      <c r="X52" s="806">
        <v>27</v>
      </c>
      <c r="Y52" s="857">
        <f t="shared" si="14"/>
        <v>513</v>
      </c>
      <c r="Z52" s="858">
        <f t="shared" si="15"/>
        <v>81</v>
      </c>
      <c r="AA52" s="785">
        <f t="shared" si="16"/>
        <v>81</v>
      </c>
      <c r="AB52" s="786">
        <f t="shared" si="17"/>
        <v>6.333333333333333</v>
      </c>
      <c r="AC52" s="787">
        <v>513</v>
      </c>
      <c r="AD52" s="788">
        <f t="shared" si="6"/>
        <v>0</v>
      </c>
      <c r="AE52" s="789">
        <f t="shared" si="7"/>
        <v>1874</v>
      </c>
      <c r="AF52" s="790">
        <f t="shared" si="8"/>
        <v>318</v>
      </c>
      <c r="AG52" s="793">
        <v>2387</v>
      </c>
      <c r="AH52" s="824">
        <v>399</v>
      </c>
      <c r="AI52" s="791">
        <f t="shared" si="9"/>
        <v>0.20300751879699247</v>
      </c>
      <c r="AJ52" s="791">
        <f t="shared" si="10"/>
        <v>0.7969924812030075</v>
      </c>
      <c r="AK52" s="790">
        <f t="shared" si="11"/>
        <v>399</v>
      </c>
      <c r="AL52" s="792">
        <f t="shared" si="12"/>
        <v>5.982456140350878</v>
      </c>
      <c r="AM52" s="793">
        <v>564</v>
      </c>
      <c r="AN52" s="791">
        <f t="shared" si="13"/>
        <v>3.232269503546099</v>
      </c>
      <c r="AO52" s="815">
        <v>7030729</v>
      </c>
      <c r="AP52" s="818">
        <v>689210</v>
      </c>
      <c r="AQ52" s="794">
        <f t="shared" si="18"/>
        <v>10.201141887088115</v>
      </c>
      <c r="AR52" s="316">
        <v>40963</v>
      </c>
      <c r="AS52" s="509" t="s">
        <v>522</v>
      </c>
    </row>
    <row r="53" spans="1:46" s="10" customFormat="1" ht="15" customHeight="1">
      <c r="A53" s="368" t="s">
        <v>511</v>
      </c>
      <c r="B53" s="349"/>
      <c r="C53" s="352" t="s">
        <v>261</v>
      </c>
      <c r="D53" s="349"/>
      <c r="E53" s="349"/>
      <c r="F53" s="349"/>
      <c r="G53" s="349"/>
      <c r="H53" s="370"/>
      <c r="I53" s="495"/>
      <c r="J53" s="215" t="s">
        <v>117</v>
      </c>
      <c r="K53" s="61" t="s">
        <v>118</v>
      </c>
      <c r="L53" s="64" t="s">
        <v>95</v>
      </c>
      <c r="M53" s="64" t="s">
        <v>119</v>
      </c>
      <c r="N53" s="299">
        <v>40886</v>
      </c>
      <c r="O53" s="64" t="s">
        <v>10</v>
      </c>
      <c r="P53" s="263">
        <v>25</v>
      </c>
      <c r="Q53" s="221">
        <v>1</v>
      </c>
      <c r="R53" s="221">
        <v>11</v>
      </c>
      <c r="S53" s="842">
        <v>63</v>
      </c>
      <c r="T53" s="843">
        <v>9</v>
      </c>
      <c r="U53" s="842">
        <v>224</v>
      </c>
      <c r="V53" s="843">
        <v>32</v>
      </c>
      <c r="W53" s="842">
        <v>105</v>
      </c>
      <c r="X53" s="843">
        <v>15</v>
      </c>
      <c r="Y53" s="857">
        <f t="shared" si="14"/>
        <v>392</v>
      </c>
      <c r="Z53" s="858">
        <f t="shared" si="15"/>
        <v>56</v>
      </c>
      <c r="AA53" s="785">
        <f t="shared" si="16"/>
        <v>56</v>
      </c>
      <c r="AB53" s="786">
        <f t="shared" si="17"/>
        <v>7</v>
      </c>
      <c r="AC53" s="799">
        <v>844</v>
      </c>
      <c r="AD53" s="788">
        <f t="shared" si="6"/>
        <v>-0.5355450236966824</v>
      </c>
      <c r="AE53" s="789">
        <f t="shared" si="7"/>
        <v>796</v>
      </c>
      <c r="AF53" s="790">
        <f t="shared" si="8"/>
        <v>241</v>
      </c>
      <c r="AG53" s="827">
        <v>1188</v>
      </c>
      <c r="AH53" s="828">
        <v>297</v>
      </c>
      <c r="AI53" s="791">
        <f t="shared" si="9"/>
        <v>0.18855218855218855</v>
      </c>
      <c r="AJ53" s="791">
        <f t="shared" si="10"/>
        <v>0.8114478114478114</v>
      </c>
      <c r="AK53" s="790">
        <f t="shared" si="11"/>
        <v>297</v>
      </c>
      <c r="AL53" s="792">
        <f t="shared" si="12"/>
        <v>4</v>
      </c>
      <c r="AM53" s="797">
        <v>2795</v>
      </c>
      <c r="AN53" s="791">
        <f t="shared" si="13"/>
        <v>-0.5749552772808587</v>
      </c>
      <c r="AO53" s="394">
        <v>428127</v>
      </c>
      <c r="AP53" s="395">
        <v>35060</v>
      </c>
      <c r="AQ53" s="794">
        <f t="shared" si="18"/>
        <v>12.21126640045636</v>
      </c>
      <c r="AR53" s="316">
        <v>40963</v>
      </c>
      <c r="AS53" s="509" t="s">
        <v>516</v>
      </c>
      <c r="AT53" s="410"/>
    </row>
    <row r="54" spans="1:46" s="10" customFormat="1" ht="15" customHeight="1">
      <c r="A54" s="368" t="s">
        <v>512</v>
      </c>
      <c r="B54" s="369"/>
      <c r="C54" s="352" t="s">
        <v>261</v>
      </c>
      <c r="D54" s="349"/>
      <c r="E54" s="349"/>
      <c r="F54" s="349"/>
      <c r="G54" s="349"/>
      <c r="H54" s="350"/>
      <c r="I54" s="350"/>
      <c r="J54" s="213" t="s">
        <v>756</v>
      </c>
      <c r="K54" s="61" t="s">
        <v>758</v>
      </c>
      <c r="L54" s="67" t="s">
        <v>138</v>
      </c>
      <c r="M54" s="65" t="s">
        <v>757</v>
      </c>
      <c r="N54" s="225">
        <v>41175</v>
      </c>
      <c r="O54" s="64" t="s">
        <v>53</v>
      </c>
      <c r="P54" s="280">
        <v>51</v>
      </c>
      <c r="Q54" s="834">
        <v>1</v>
      </c>
      <c r="R54" s="834">
        <v>11</v>
      </c>
      <c r="S54" s="805">
        <v>74</v>
      </c>
      <c r="T54" s="806">
        <v>6</v>
      </c>
      <c r="U54" s="805">
        <v>108</v>
      </c>
      <c r="V54" s="806">
        <v>10</v>
      </c>
      <c r="W54" s="805">
        <v>112</v>
      </c>
      <c r="X54" s="806">
        <v>11</v>
      </c>
      <c r="Y54" s="857">
        <f t="shared" si="14"/>
        <v>294</v>
      </c>
      <c r="Z54" s="858">
        <f t="shared" si="15"/>
        <v>27</v>
      </c>
      <c r="AA54" s="785">
        <f t="shared" si="16"/>
        <v>27</v>
      </c>
      <c r="AB54" s="786">
        <f t="shared" si="17"/>
        <v>10.88888888888889</v>
      </c>
      <c r="AC54" s="787"/>
      <c r="AD54" s="788"/>
      <c r="AE54" s="789"/>
      <c r="AF54" s="790"/>
      <c r="AG54" s="793"/>
      <c r="AH54" s="824"/>
      <c r="AI54" s="791"/>
      <c r="AJ54" s="791"/>
      <c r="AK54" s="790"/>
      <c r="AL54" s="792"/>
      <c r="AM54" s="803"/>
      <c r="AN54" s="791"/>
      <c r="AO54" s="815">
        <v>1019691.5</v>
      </c>
      <c r="AP54" s="818">
        <v>95371</v>
      </c>
      <c r="AQ54" s="794">
        <f t="shared" si="18"/>
        <v>10.691840286879659</v>
      </c>
      <c r="AR54" s="316">
        <v>40963</v>
      </c>
      <c r="AS54" s="509" t="s">
        <v>349</v>
      </c>
      <c r="AT54" s="410"/>
    </row>
    <row r="55" spans="1:46" s="10" customFormat="1" ht="15" customHeight="1" hidden="1">
      <c r="A55" s="368" t="s">
        <v>513</v>
      </c>
      <c r="B55" s="358"/>
      <c r="C55" s="352" t="s">
        <v>261</v>
      </c>
      <c r="D55" s="359"/>
      <c r="E55" s="359"/>
      <c r="F55" s="349"/>
      <c r="G55" s="359"/>
      <c r="H55" s="354" t="s">
        <v>55</v>
      </c>
      <c r="I55" s="353" t="s">
        <v>54</v>
      </c>
      <c r="J55" s="213" t="s">
        <v>74</v>
      </c>
      <c r="K55" s="67" t="s">
        <v>80</v>
      </c>
      <c r="L55" s="67"/>
      <c r="M55" s="67" t="s">
        <v>74</v>
      </c>
      <c r="N55" s="225">
        <v>40851</v>
      </c>
      <c r="O55" s="64" t="s">
        <v>53</v>
      </c>
      <c r="P55" s="272">
        <v>247</v>
      </c>
      <c r="Q55" s="804">
        <v>1</v>
      </c>
      <c r="R55" s="804">
        <v>16</v>
      </c>
      <c r="S55" s="805">
        <v>850</v>
      </c>
      <c r="T55" s="806">
        <v>170</v>
      </c>
      <c r="U55" s="805">
        <v>1254</v>
      </c>
      <c r="V55" s="806">
        <v>251</v>
      </c>
      <c r="W55" s="805">
        <v>1500</v>
      </c>
      <c r="X55" s="806">
        <v>300</v>
      </c>
      <c r="Y55" s="844">
        <f t="shared" si="14"/>
        <v>3604</v>
      </c>
      <c r="Z55" s="845">
        <f t="shared" si="15"/>
        <v>721</v>
      </c>
      <c r="AA55" s="785">
        <f t="shared" si="16"/>
        <v>721</v>
      </c>
      <c r="AB55" s="786">
        <f t="shared" si="17"/>
        <v>4.9986130374479885</v>
      </c>
      <c r="AC55" s="787">
        <v>3604</v>
      </c>
      <c r="AD55" s="788">
        <f aca="true" t="shared" si="19" ref="AD55:AD72">IF(AC55&lt;&gt;0,-(AC55-Y55)/AC55,"")</f>
        <v>0</v>
      </c>
      <c r="AE55" s="789">
        <f aca="true" t="shared" si="20" ref="AE55:AE86">AG55-Y55</f>
        <v>0</v>
      </c>
      <c r="AF55" s="790">
        <f aca="true" t="shared" si="21" ref="AF55:AF86">AH55-Z55</f>
        <v>0</v>
      </c>
      <c r="AG55" s="793">
        <v>3604</v>
      </c>
      <c r="AH55" s="824">
        <v>721</v>
      </c>
      <c r="AI55" s="791">
        <f aca="true" t="shared" si="22" ref="AI55:AI86">Z55*1/AH55</f>
        <v>1</v>
      </c>
      <c r="AJ55" s="791">
        <f aca="true" t="shared" si="23" ref="AJ55:AJ86">AF55*1/AH55</f>
        <v>0</v>
      </c>
      <c r="AK55" s="790">
        <f aca="true" t="shared" si="24" ref="AK55:AK86">AH55/Q55</f>
        <v>721</v>
      </c>
      <c r="AL55" s="792">
        <f aca="true" t="shared" si="25" ref="AL55:AL86">AG55/AH55</f>
        <v>4.9986130374479885</v>
      </c>
      <c r="AM55" s="793">
        <v>4804</v>
      </c>
      <c r="AN55" s="791">
        <f aca="true" t="shared" si="26" ref="AN55:AN64">IF(AM55&lt;&gt;0,-(AM55-AG55)/AM55,"")</f>
        <v>-0.2497918401332223</v>
      </c>
      <c r="AO55" s="807">
        <f>2260223+2366876.75+3859638+3137342+1906742.5+252.25+1189485.5+474275+250512+184428+13126+754+5006+188+4804+3604</f>
        <v>15657257</v>
      </c>
      <c r="AP55" s="341">
        <f>286038+329194+554088+452220+278080+42+178270+68355+40409+33224+1975+104+988+22+960+721</f>
        <v>2224690</v>
      </c>
      <c r="AQ55" s="794">
        <f t="shared" si="18"/>
        <v>7.037950006517762</v>
      </c>
      <c r="AR55" s="316">
        <v>40956</v>
      </c>
      <c r="AS55" s="509" t="s">
        <v>501</v>
      </c>
      <c r="AT55" s="410"/>
    </row>
    <row r="56" spans="1:46" s="10" customFormat="1" ht="15.75" hidden="1">
      <c r="A56" s="368" t="s">
        <v>372</v>
      </c>
      <c r="B56" s="369"/>
      <c r="C56" s="369"/>
      <c r="D56" s="369"/>
      <c r="E56" s="369"/>
      <c r="F56" s="349"/>
      <c r="G56" s="369"/>
      <c r="H56" s="350"/>
      <c r="I56" s="351"/>
      <c r="J56" s="215" t="s">
        <v>393</v>
      </c>
      <c r="K56" s="61" t="s">
        <v>396</v>
      </c>
      <c r="L56" s="64" t="s">
        <v>394</v>
      </c>
      <c r="M56" s="64" t="s">
        <v>395</v>
      </c>
      <c r="N56" s="225">
        <v>40921</v>
      </c>
      <c r="O56" s="64" t="s">
        <v>370</v>
      </c>
      <c r="P56" s="263">
        <v>30</v>
      </c>
      <c r="Q56" s="220">
        <v>1</v>
      </c>
      <c r="R56" s="220">
        <v>6</v>
      </c>
      <c r="S56" s="808">
        <v>1779</v>
      </c>
      <c r="T56" s="809">
        <v>356</v>
      </c>
      <c r="U56" s="808">
        <v>0</v>
      </c>
      <c r="V56" s="809">
        <v>0</v>
      </c>
      <c r="W56" s="808">
        <v>0</v>
      </c>
      <c r="X56" s="809">
        <v>0</v>
      </c>
      <c r="Y56" s="844">
        <f t="shared" si="14"/>
        <v>1779</v>
      </c>
      <c r="Z56" s="845">
        <f t="shared" si="15"/>
        <v>356</v>
      </c>
      <c r="AA56" s="785">
        <f t="shared" si="16"/>
        <v>356</v>
      </c>
      <c r="AB56" s="786">
        <f t="shared" si="17"/>
        <v>4.997191011235955</v>
      </c>
      <c r="AC56" s="799">
        <v>1779</v>
      </c>
      <c r="AD56" s="788">
        <f t="shared" si="19"/>
        <v>0</v>
      </c>
      <c r="AE56" s="789">
        <f t="shared" si="20"/>
        <v>0</v>
      </c>
      <c r="AF56" s="790">
        <f t="shared" si="21"/>
        <v>0</v>
      </c>
      <c r="AG56" s="810">
        <v>1779</v>
      </c>
      <c r="AH56" s="811">
        <v>356</v>
      </c>
      <c r="AI56" s="791">
        <f t="shared" si="22"/>
        <v>1</v>
      </c>
      <c r="AJ56" s="791">
        <f t="shared" si="23"/>
        <v>0</v>
      </c>
      <c r="AK56" s="790">
        <f t="shared" si="24"/>
        <v>356</v>
      </c>
      <c r="AL56" s="792">
        <f t="shared" si="25"/>
        <v>4.997191011235955</v>
      </c>
      <c r="AM56" s="797">
        <v>9477</v>
      </c>
      <c r="AN56" s="791">
        <f t="shared" si="26"/>
        <v>-0.8122823678379234</v>
      </c>
      <c r="AO56" s="812">
        <v>480409</v>
      </c>
      <c r="AP56" s="813">
        <v>36549</v>
      </c>
      <c r="AQ56" s="794">
        <f t="shared" si="18"/>
        <v>13.144244712577635</v>
      </c>
      <c r="AR56" s="316">
        <v>40956</v>
      </c>
      <c r="AS56" s="509" t="s">
        <v>513</v>
      </c>
      <c r="AT56" s="60"/>
    </row>
    <row r="57" spans="1:46" s="10" customFormat="1" ht="15.75" hidden="1">
      <c r="A57" s="368" t="s">
        <v>514</v>
      </c>
      <c r="B57" s="348"/>
      <c r="C57" s="349"/>
      <c r="D57" s="349"/>
      <c r="E57" s="349"/>
      <c r="F57" s="349"/>
      <c r="G57" s="349"/>
      <c r="H57" s="350"/>
      <c r="I57" s="350"/>
      <c r="J57" s="215" t="s">
        <v>158</v>
      </c>
      <c r="K57" s="64" t="s">
        <v>162</v>
      </c>
      <c r="L57" s="64" t="s">
        <v>79</v>
      </c>
      <c r="M57" s="64" t="s">
        <v>161</v>
      </c>
      <c r="N57" s="226">
        <v>40907</v>
      </c>
      <c r="O57" s="64" t="s">
        <v>13</v>
      </c>
      <c r="P57" s="263">
        <v>1</v>
      </c>
      <c r="Q57" s="264">
        <v>1</v>
      </c>
      <c r="R57" s="264">
        <v>4</v>
      </c>
      <c r="S57" s="728">
        <v>204</v>
      </c>
      <c r="T57" s="729">
        <v>19</v>
      </c>
      <c r="U57" s="728">
        <v>390</v>
      </c>
      <c r="V57" s="729">
        <v>37</v>
      </c>
      <c r="W57" s="728">
        <v>562</v>
      </c>
      <c r="X57" s="729">
        <v>53</v>
      </c>
      <c r="Y57" s="846">
        <f t="shared" si="14"/>
        <v>1156</v>
      </c>
      <c r="Z57" s="847">
        <f t="shared" si="15"/>
        <v>109</v>
      </c>
      <c r="AA57" s="730">
        <f t="shared" si="16"/>
        <v>109</v>
      </c>
      <c r="AB57" s="731">
        <f t="shared" si="17"/>
        <v>10.605504587155963</v>
      </c>
      <c r="AC57" s="736">
        <v>1156</v>
      </c>
      <c r="AD57" s="733">
        <f t="shared" si="19"/>
        <v>0</v>
      </c>
      <c r="AE57" s="747">
        <f t="shared" si="20"/>
        <v>703</v>
      </c>
      <c r="AF57" s="748">
        <f t="shared" si="21"/>
        <v>73</v>
      </c>
      <c r="AG57" s="756">
        <v>1859</v>
      </c>
      <c r="AH57" s="757">
        <v>182</v>
      </c>
      <c r="AI57" s="751">
        <f t="shared" si="22"/>
        <v>0.5989010989010989</v>
      </c>
      <c r="AJ57" s="751">
        <f t="shared" si="23"/>
        <v>0.4010989010989011</v>
      </c>
      <c r="AK57" s="748">
        <f t="shared" si="24"/>
        <v>182</v>
      </c>
      <c r="AL57" s="752">
        <f t="shared" si="25"/>
        <v>10.214285714285714</v>
      </c>
      <c r="AM57" s="758">
        <v>2345</v>
      </c>
      <c r="AN57" s="751">
        <f t="shared" si="26"/>
        <v>-0.2072494669509595</v>
      </c>
      <c r="AO57" s="268">
        <v>6925</v>
      </c>
      <c r="AP57" s="269">
        <v>705</v>
      </c>
      <c r="AQ57" s="768">
        <f t="shared" si="18"/>
        <v>9.822695035460994</v>
      </c>
      <c r="AR57" s="316">
        <v>40956</v>
      </c>
      <c r="AS57" s="509" t="s">
        <v>506</v>
      </c>
      <c r="AT57" s="60"/>
    </row>
    <row r="58" spans="1:46" s="10" customFormat="1" ht="15.75" hidden="1">
      <c r="A58" s="368" t="s">
        <v>515</v>
      </c>
      <c r="B58" s="348"/>
      <c r="C58" s="349"/>
      <c r="D58" s="349"/>
      <c r="E58" s="349"/>
      <c r="F58" s="349"/>
      <c r="G58" s="349"/>
      <c r="H58" s="350"/>
      <c r="I58" s="350"/>
      <c r="J58" s="207" t="s">
        <v>341</v>
      </c>
      <c r="K58" s="61" t="s">
        <v>342</v>
      </c>
      <c r="L58" s="66" t="s">
        <v>189</v>
      </c>
      <c r="M58" s="66" t="s">
        <v>343</v>
      </c>
      <c r="N58" s="226">
        <v>40914</v>
      </c>
      <c r="O58" s="64" t="s">
        <v>8</v>
      </c>
      <c r="P58" s="272">
        <v>36</v>
      </c>
      <c r="Q58" s="273">
        <v>1</v>
      </c>
      <c r="R58" s="273">
        <v>7</v>
      </c>
      <c r="S58" s="737">
        <v>72</v>
      </c>
      <c r="T58" s="738">
        <v>8</v>
      </c>
      <c r="U58" s="737">
        <v>261</v>
      </c>
      <c r="V58" s="738">
        <v>29</v>
      </c>
      <c r="W58" s="737">
        <v>171</v>
      </c>
      <c r="X58" s="738">
        <v>19</v>
      </c>
      <c r="Y58" s="846">
        <f t="shared" si="14"/>
        <v>504</v>
      </c>
      <c r="Z58" s="847">
        <f t="shared" si="15"/>
        <v>56</v>
      </c>
      <c r="AA58" s="730">
        <f t="shared" si="16"/>
        <v>56</v>
      </c>
      <c r="AB58" s="731">
        <f t="shared" si="17"/>
        <v>9</v>
      </c>
      <c r="AC58" s="746">
        <v>504</v>
      </c>
      <c r="AD58" s="733">
        <f t="shared" si="19"/>
        <v>0</v>
      </c>
      <c r="AE58" s="747">
        <f t="shared" si="20"/>
        <v>287</v>
      </c>
      <c r="AF58" s="748">
        <f t="shared" si="21"/>
        <v>41</v>
      </c>
      <c r="AG58" s="762">
        <v>791</v>
      </c>
      <c r="AH58" s="763">
        <v>97</v>
      </c>
      <c r="AI58" s="751">
        <f t="shared" si="22"/>
        <v>0.5773195876288659</v>
      </c>
      <c r="AJ58" s="751">
        <f t="shared" si="23"/>
        <v>0.422680412371134</v>
      </c>
      <c r="AK58" s="748">
        <f t="shared" si="24"/>
        <v>97</v>
      </c>
      <c r="AL58" s="752">
        <f t="shared" si="25"/>
        <v>8.154639175257731</v>
      </c>
      <c r="AM58" s="753">
        <v>27715</v>
      </c>
      <c r="AN58" s="751">
        <f t="shared" si="26"/>
        <v>-0.9714594984665343</v>
      </c>
      <c r="AO58" s="774">
        <v>535924</v>
      </c>
      <c r="AP58" s="775">
        <v>46745</v>
      </c>
      <c r="AQ58" s="768">
        <f t="shared" si="18"/>
        <v>11.464841159482297</v>
      </c>
      <c r="AR58" s="316">
        <v>40956</v>
      </c>
      <c r="AS58" s="509" t="s">
        <v>518</v>
      </c>
      <c r="AT58" s="60"/>
    </row>
    <row r="59" spans="1:46" s="10" customFormat="1" ht="15.75" hidden="1">
      <c r="A59" s="368" t="s">
        <v>516</v>
      </c>
      <c r="B59" s="348"/>
      <c r="C59" s="349"/>
      <c r="D59" s="359"/>
      <c r="E59" s="359"/>
      <c r="F59" s="349"/>
      <c r="G59" s="359"/>
      <c r="H59" s="350"/>
      <c r="I59" s="353" t="s">
        <v>54</v>
      </c>
      <c r="J59" s="207" t="s">
        <v>337</v>
      </c>
      <c r="K59" s="66" t="s">
        <v>339</v>
      </c>
      <c r="L59" s="61"/>
      <c r="M59" s="66" t="s">
        <v>337</v>
      </c>
      <c r="N59" s="225">
        <v>40914</v>
      </c>
      <c r="O59" s="64" t="s">
        <v>53</v>
      </c>
      <c r="P59" s="280">
        <v>97</v>
      </c>
      <c r="Q59" s="281">
        <v>1</v>
      </c>
      <c r="R59" s="281">
        <v>7</v>
      </c>
      <c r="S59" s="741">
        <v>36</v>
      </c>
      <c r="T59" s="742">
        <v>6</v>
      </c>
      <c r="U59" s="741">
        <v>54</v>
      </c>
      <c r="V59" s="742">
        <v>9</v>
      </c>
      <c r="W59" s="741">
        <v>12</v>
      </c>
      <c r="X59" s="742">
        <v>2</v>
      </c>
      <c r="Y59" s="846">
        <f t="shared" si="14"/>
        <v>102</v>
      </c>
      <c r="Z59" s="847">
        <f t="shared" si="15"/>
        <v>17</v>
      </c>
      <c r="AA59" s="730">
        <f t="shared" si="16"/>
        <v>17</v>
      </c>
      <c r="AB59" s="731">
        <f t="shared" si="17"/>
        <v>6</v>
      </c>
      <c r="AC59" s="736">
        <v>102</v>
      </c>
      <c r="AD59" s="733">
        <f t="shared" si="19"/>
        <v>0</v>
      </c>
      <c r="AE59" s="747">
        <f t="shared" si="20"/>
        <v>12</v>
      </c>
      <c r="AF59" s="748">
        <f t="shared" si="21"/>
        <v>2</v>
      </c>
      <c r="AG59" s="756">
        <v>114</v>
      </c>
      <c r="AH59" s="757">
        <v>19</v>
      </c>
      <c r="AI59" s="751">
        <f t="shared" si="22"/>
        <v>0.8947368421052632</v>
      </c>
      <c r="AJ59" s="751">
        <f t="shared" si="23"/>
        <v>0.10526315789473684</v>
      </c>
      <c r="AK59" s="748">
        <f t="shared" si="24"/>
        <v>19</v>
      </c>
      <c r="AL59" s="752">
        <f t="shared" si="25"/>
        <v>6</v>
      </c>
      <c r="AM59" s="758">
        <v>2220</v>
      </c>
      <c r="AN59" s="751">
        <f t="shared" si="26"/>
        <v>-0.9486486486486486</v>
      </c>
      <c r="AO59" s="268">
        <f>216520+198358.5+149589.5+18051.79+5443+2220+114</f>
        <v>590296.79</v>
      </c>
      <c r="AP59" s="269">
        <f>26831+25025+19383+2440+733+337+19</f>
        <v>74768</v>
      </c>
      <c r="AQ59" s="768">
        <f t="shared" si="18"/>
        <v>7.895045875240745</v>
      </c>
      <c r="AR59" s="316">
        <v>40956</v>
      </c>
      <c r="AS59" s="509" t="s">
        <v>521</v>
      </c>
      <c r="AT59" s="60"/>
    </row>
    <row r="60" spans="1:46" s="10" customFormat="1" ht="15.75" hidden="1">
      <c r="A60" s="368" t="s">
        <v>517</v>
      </c>
      <c r="B60" s="348"/>
      <c r="C60" s="352" t="s">
        <v>261</v>
      </c>
      <c r="D60" s="369"/>
      <c r="E60" s="369"/>
      <c r="F60" s="349"/>
      <c r="G60" s="369"/>
      <c r="H60" s="350"/>
      <c r="I60" s="351"/>
      <c r="J60" s="215" t="s">
        <v>434</v>
      </c>
      <c r="K60" s="61" t="s">
        <v>435</v>
      </c>
      <c r="L60" s="64" t="s">
        <v>394</v>
      </c>
      <c r="M60" s="64" t="s">
        <v>436</v>
      </c>
      <c r="N60" s="225">
        <v>40816</v>
      </c>
      <c r="O60" s="64" t="s">
        <v>370</v>
      </c>
      <c r="P60" s="263">
        <v>41</v>
      </c>
      <c r="Q60" s="264">
        <v>1</v>
      </c>
      <c r="R60" s="264">
        <v>14</v>
      </c>
      <c r="S60" s="726">
        <v>14</v>
      </c>
      <c r="T60" s="727">
        <v>2</v>
      </c>
      <c r="U60" s="726">
        <v>0</v>
      </c>
      <c r="V60" s="727">
        <v>0</v>
      </c>
      <c r="W60" s="726">
        <v>0</v>
      </c>
      <c r="X60" s="727">
        <v>0</v>
      </c>
      <c r="Y60" s="846">
        <f t="shared" si="14"/>
        <v>14</v>
      </c>
      <c r="Z60" s="847">
        <f t="shared" si="15"/>
        <v>2</v>
      </c>
      <c r="AA60" s="730">
        <f t="shared" si="16"/>
        <v>2</v>
      </c>
      <c r="AB60" s="731">
        <f t="shared" si="17"/>
        <v>7</v>
      </c>
      <c r="AC60" s="732">
        <v>14</v>
      </c>
      <c r="AD60" s="733">
        <f t="shared" si="19"/>
        <v>0</v>
      </c>
      <c r="AE60" s="747">
        <f t="shared" si="20"/>
        <v>35</v>
      </c>
      <c r="AF60" s="748">
        <f t="shared" si="21"/>
        <v>5</v>
      </c>
      <c r="AG60" s="749">
        <v>49</v>
      </c>
      <c r="AH60" s="750">
        <v>7</v>
      </c>
      <c r="AI60" s="751">
        <f t="shared" si="22"/>
        <v>0.2857142857142857</v>
      </c>
      <c r="AJ60" s="751">
        <f t="shared" si="23"/>
        <v>0.7142857142857143</v>
      </c>
      <c r="AK60" s="748">
        <f t="shared" si="24"/>
        <v>7</v>
      </c>
      <c r="AL60" s="752">
        <f t="shared" si="25"/>
        <v>7</v>
      </c>
      <c r="AM60" s="753">
        <v>4033</v>
      </c>
      <c r="AN60" s="751">
        <f t="shared" si="26"/>
        <v>-0.9878502355566576</v>
      </c>
      <c r="AO60" s="766">
        <v>1292719</v>
      </c>
      <c r="AP60" s="767">
        <v>102776</v>
      </c>
      <c r="AQ60" s="768">
        <f t="shared" si="18"/>
        <v>12.578024052307931</v>
      </c>
      <c r="AR60" s="316">
        <v>40956</v>
      </c>
      <c r="AS60" s="509" t="s">
        <v>523</v>
      </c>
      <c r="AT60" s="60"/>
    </row>
    <row r="61" spans="1:46" s="10" customFormat="1" ht="15.75" hidden="1">
      <c r="A61" s="368" t="s">
        <v>518</v>
      </c>
      <c r="B61" s="348"/>
      <c r="C61" s="352" t="s">
        <v>261</v>
      </c>
      <c r="D61" s="369"/>
      <c r="E61" s="369"/>
      <c r="F61" s="349"/>
      <c r="G61" s="360" t="s">
        <v>292</v>
      </c>
      <c r="H61" s="351"/>
      <c r="I61" s="353" t="s">
        <v>54</v>
      </c>
      <c r="J61" s="214" t="s">
        <v>110</v>
      </c>
      <c r="K61" s="61" t="s">
        <v>113</v>
      </c>
      <c r="L61" s="61"/>
      <c r="M61" s="61" t="s">
        <v>110</v>
      </c>
      <c r="N61" s="225">
        <v>40879</v>
      </c>
      <c r="O61" s="64" t="s">
        <v>53</v>
      </c>
      <c r="P61" s="263">
        <v>135</v>
      </c>
      <c r="Q61" s="281">
        <v>2</v>
      </c>
      <c r="R61" s="281">
        <v>12</v>
      </c>
      <c r="S61" s="741">
        <v>0</v>
      </c>
      <c r="T61" s="742">
        <v>0</v>
      </c>
      <c r="U61" s="741">
        <v>0</v>
      </c>
      <c r="V61" s="742">
        <v>0</v>
      </c>
      <c r="W61" s="741">
        <v>0</v>
      </c>
      <c r="X61" s="742">
        <v>0</v>
      </c>
      <c r="Y61" s="846">
        <f t="shared" si="14"/>
        <v>0</v>
      </c>
      <c r="Z61" s="847">
        <f t="shared" si="15"/>
        <v>0</v>
      </c>
      <c r="AA61" s="730">
        <f t="shared" si="16"/>
      </c>
      <c r="AB61" s="731">
        <f t="shared" si="17"/>
      </c>
      <c r="AC61" s="736">
        <v>0</v>
      </c>
      <c r="AD61" s="733">
        <f t="shared" si="19"/>
      </c>
      <c r="AE61" s="747">
        <f t="shared" si="20"/>
        <v>28</v>
      </c>
      <c r="AF61" s="748">
        <f t="shared" si="21"/>
        <v>4</v>
      </c>
      <c r="AG61" s="756">
        <v>28</v>
      </c>
      <c r="AH61" s="757">
        <v>4</v>
      </c>
      <c r="AI61" s="751">
        <f t="shared" si="22"/>
        <v>0</v>
      </c>
      <c r="AJ61" s="751">
        <f t="shared" si="23"/>
        <v>1</v>
      </c>
      <c r="AK61" s="748">
        <f t="shared" si="24"/>
        <v>2</v>
      </c>
      <c r="AL61" s="752">
        <f t="shared" si="25"/>
        <v>7</v>
      </c>
      <c r="AM61" s="758">
        <v>3058</v>
      </c>
      <c r="AN61" s="751">
        <f t="shared" si="26"/>
        <v>-0.9908436886854153</v>
      </c>
      <c r="AO61" s="268">
        <f>1709882.25+1194489.75+708906.5+376327+70+197271.5+73341.5+70692.5+50480.5+9953.5+3058+838+28</f>
        <v>4395339</v>
      </c>
      <c r="AP61" s="269">
        <f>195314+135261+80447+45395+10+25625+10302+10950+7727+1402+435+131+4</f>
        <v>513003</v>
      </c>
      <c r="AQ61" s="768">
        <f t="shared" si="18"/>
        <v>8.567862176244583</v>
      </c>
      <c r="AR61" s="316">
        <v>40956</v>
      </c>
      <c r="AS61" s="509" t="s">
        <v>524</v>
      </c>
      <c r="AT61" s="60"/>
    </row>
    <row r="62" spans="1:46" s="10" customFormat="1" ht="15.75" hidden="1">
      <c r="A62" s="368" t="s">
        <v>519</v>
      </c>
      <c r="B62" s="348"/>
      <c r="C62" s="352" t="s">
        <v>261</v>
      </c>
      <c r="D62" s="349"/>
      <c r="E62" s="349"/>
      <c r="F62" s="349"/>
      <c r="G62" s="349"/>
      <c r="H62" s="350"/>
      <c r="I62" s="353" t="s">
        <v>54</v>
      </c>
      <c r="J62" s="211" t="s">
        <v>143</v>
      </c>
      <c r="K62" s="61" t="s">
        <v>127</v>
      </c>
      <c r="L62" s="65"/>
      <c r="M62" s="63" t="s">
        <v>143</v>
      </c>
      <c r="N62" s="225">
        <v>40893</v>
      </c>
      <c r="O62" s="64" t="s">
        <v>68</v>
      </c>
      <c r="P62" s="263">
        <v>23</v>
      </c>
      <c r="Q62" s="264">
        <v>1</v>
      </c>
      <c r="R62" s="264">
        <v>10</v>
      </c>
      <c r="S62" s="732">
        <v>0</v>
      </c>
      <c r="T62" s="743">
        <v>0</v>
      </c>
      <c r="U62" s="732">
        <v>0</v>
      </c>
      <c r="V62" s="743">
        <v>0</v>
      </c>
      <c r="W62" s="732">
        <v>0</v>
      </c>
      <c r="X62" s="743">
        <v>0</v>
      </c>
      <c r="Y62" s="846">
        <f t="shared" si="14"/>
        <v>0</v>
      </c>
      <c r="Z62" s="847">
        <f t="shared" si="15"/>
        <v>0</v>
      </c>
      <c r="AA62" s="730">
        <f t="shared" si="16"/>
      </c>
      <c r="AB62" s="731">
        <f t="shared" si="17"/>
      </c>
      <c r="AC62" s="736">
        <v>0</v>
      </c>
      <c r="AD62" s="733">
        <f t="shared" si="19"/>
      </c>
      <c r="AE62" s="747">
        <f t="shared" si="20"/>
        <v>3801.5</v>
      </c>
      <c r="AF62" s="748">
        <f t="shared" si="21"/>
        <v>760</v>
      </c>
      <c r="AG62" s="764">
        <v>3801.5</v>
      </c>
      <c r="AH62" s="765">
        <v>760</v>
      </c>
      <c r="AI62" s="751">
        <f t="shared" si="22"/>
        <v>0</v>
      </c>
      <c r="AJ62" s="751">
        <f t="shared" si="23"/>
        <v>1</v>
      </c>
      <c r="AK62" s="748">
        <f t="shared" si="24"/>
        <v>760</v>
      </c>
      <c r="AL62" s="752">
        <f t="shared" si="25"/>
        <v>5.001973684210526</v>
      </c>
      <c r="AM62" s="753">
        <v>3291</v>
      </c>
      <c r="AN62" s="751">
        <f t="shared" si="26"/>
        <v>0.15512002430872077</v>
      </c>
      <c r="AO62" s="497">
        <f>53228.5+28585+20298.5+8299+5922+6463+2186.5+3291+2777+3801.5</f>
        <v>134852</v>
      </c>
      <c r="AP62" s="498">
        <f>6440+3537+2691+1237+891+1419+633+570+423+760</f>
        <v>18601</v>
      </c>
      <c r="AQ62" s="768">
        <f t="shared" si="18"/>
        <v>7.249717757109833</v>
      </c>
      <c r="AR62" s="316">
        <v>40956</v>
      </c>
      <c r="AS62" s="509" t="s">
        <v>500</v>
      </c>
      <c r="AT62" s="60"/>
    </row>
    <row r="63" spans="1:46" s="10" customFormat="1" ht="15.75" hidden="1">
      <c r="A63" s="368" t="s">
        <v>407</v>
      </c>
      <c r="B63" s="348"/>
      <c r="C63" s="352" t="s">
        <v>261</v>
      </c>
      <c r="D63" s="355"/>
      <c r="E63" s="356">
        <v>3</v>
      </c>
      <c r="F63" s="355"/>
      <c r="G63" s="349"/>
      <c r="H63" s="351"/>
      <c r="I63" s="350"/>
      <c r="J63" s="211" t="s">
        <v>274</v>
      </c>
      <c r="K63" s="61" t="s">
        <v>140</v>
      </c>
      <c r="L63" s="65" t="s">
        <v>85</v>
      </c>
      <c r="M63" s="63" t="s">
        <v>286</v>
      </c>
      <c r="N63" s="225">
        <v>40830</v>
      </c>
      <c r="O63" s="64" t="s">
        <v>68</v>
      </c>
      <c r="P63" s="263">
        <v>98</v>
      </c>
      <c r="Q63" s="264">
        <v>4</v>
      </c>
      <c r="R63" s="264">
        <v>13</v>
      </c>
      <c r="S63" s="732">
        <v>0</v>
      </c>
      <c r="T63" s="743">
        <v>0</v>
      </c>
      <c r="U63" s="732">
        <v>0</v>
      </c>
      <c r="V63" s="743">
        <v>0</v>
      </c>
      <c r="W63" s="732">
        <v>0</v>
      </c>
      <c r="X63" s="743">
        <v>0</v>
      </c>
      <c r="Y63" s="846">
        <f t="shared" si="14"/>
        <v>0</v>
      </c>
      <c r="Z63" s="847">
        <f t="shared" si="15"/>
        <v>0</v>
      </c>
      <c r="AA63" s="730">
        <f t="shared" si="16"/>
      </c>
      <c r="AB63" s="731">
        <f t="shared" si="17"/>
      </c>
      <c r="AC63" s="736">
        <v>0</v>
      </c>
      <c r="AD63" s="733">
        <f t="shared" si="19"/>
      </c>
      <c r="AE63" s="747">
        <f t="shared" si="20"/>
        <v>3207.5</v>
      </c>
      <c r="AF63" s="748">
        <f t="shared" si="21"/>
        <v>641</v>
      </c>
      <c r="AG63" s="764">
        <v>3207.5</v>
      </c>
      <c r="AH63" s="765">
        <v>641</v>
      </c>
      <c r="AI63" s="751">
        <f t="shared" si="22"/>
        <v>0</v>
      </c>
      <c r="AJ63" s="751">
        <f t="shared" si="23"/>
        <v>1</v>
      </c>
      <c r="AK63" s="748">
        <f t="shared" si="24"/>
        <v>160.25</v>
      </c>
      <c r="AL63" s="752">
        <f t="shared" si="25"/>
        <v>5.003900156006241</v>
      </c>
      <c r="AM63" s="753">
        <v>488</v>
      </c>
      <c r="AN63" s="751">
        <f t="shared" si="26"/>
        <v>5.572745901639344</v>
      </c>
      <c r="AO63" s="497">
        <f>573965.5+340647.5+298149+37925.5+16221+796+1713.5+3994+1930+1403+3582+6668.5+488+3207.5</f>
        <v>1290691</v>
      </c>
      <c r="AP63" s="498">
        <f>50953+31140+27249+4634+2655+127+438+632+617+597+1015+1646+70+641</f>
        <v>122414</v>
      </c>
      <c r="AQ63" s="768">
        <f t="shared" si="18"/>
        <v>10.543655137484274</v>
      </c>
      <c r="AR63" s="316">
        <v>40956</v>
      </c>
      <c r="AS63" s="509" t="s">
        <v>502</v>
      </c>
      <c r="AT63" s="60"/>
    </row>
    <row r="64" spans="1:46" s="10" customFormat="1" ht="15.75" hidden="1">
      <c r="A64" s="368"/>
      <c r="B64" s="348"/>
      <c r="C64" s="352" t="s">
        <v>261</v>
      </c>
      <c r="D64" s="361" t="s">
        <v>223</v>
      </c>
      <c r="E64" s="349"/>
      <c r="F64" s="369"/>
      <c r="G64" s="360" t="s">
        <v>292</v>
      </c>
      <c r="H64" s="350"/>
      <c r="I64" s="351"/>
      <c r="J64" s="211" t="s">
        <v>537</v>
      </c>
      <c r="K64" s="63" t="s">
        <v>460</v>
      </c>
      <c r="L64" s="63" t="s">
        <v>89</v>
      </c>
      <c r="M64" s="63" t="s">
        <v>468</v>
      </c>
      <c r="N64" s="225">
        <v>40522</v>
      </c>
      <c r="O64" s="64" t="s">
        <v>68</v>
      </c>
      <c r="P64" s="263">
        <v>127</v>
      </c>
      <c r="Q64" s="264">
        <v>1</v>
      </c>
      <c r="R64" s="264">
        <v>24</v>
      </c>
      <c r="S64" s="732">
        <v>0</v>
      </c>
      <c r="T64" s="743">
        <v>0</v>
      </c>
      <c r="U64" s="732">
        <v>0</v>
      </c>
      <c r="V64" s="743">
        <v>0</v>
      </c>
      <c r="W64" s="732">
        <v>0</v>
      </c>
      <c r="X64" s="743">
        <v>0</v>
      </c>
      <c r="Y64" s="846">
        <f t="shared" si="14"/>
        <v>0</v>
      </c>
      <c r="Z64" s="847">
        <f t="shared" si="15"/>
        <v>0</v>
      </c>
      <c r="AA64" s="730">
        <f t="shared" si="16"/>
      </c>
      <c r="AB64" s="731">
        <f t="shared" si="17"/>
      </c>
      <c r="AC64" s="736">
        <v>0</v>
      </c>
      <c r="AD64" s="733">
        <f t="shared" si="19"/>
      </c>
      <c r="AE64" s="747">
        <f t="shared" si="20"/>
        <v>1782</v>
      </c>
      <c r="AF64" s="748">
        <f t="shared" si="21"/>
        <v>356</v>
      </c>
      <c r="AG64" s="764">
        <v>1782</v>
      </c>
      <c r="AH64" s="765">
        <v>356</v>
      </c>
      <c r="AI64" s="751">
        <f t="shared" si="22"/>
        <v>0</v>
      </c>
      <c r="AJ64" s="751">
        <f t="shared" si="23"/>
        <v>1</v>
      </c>
      <c r="AK64" s="748">
        <f t="shared" si="24"/>
        <v>356</v>
      </c>
      <c r="AL64" s="752">
        <f t="shared" si="25"/>
        <v>5.00561797752809</v>
      </c>
      <c r="AM64" s="753"/>
      <c r="AN64" s="751">
        <f t="shared" si="26"/>
      </c>
      <c r="AO64" s="497">
        <f>1048675+809166.5+457718.5+70165.5+7102+12164+8619.5+11777.5+6559.5+3338.5+10420.5+3303+3205+2076+1722.5+314+264+550+5455+5583.5+1818.5+950.5+1188+1782</f>
        <v>2473919</v>
      </c>
      <c r="AP64" s="498">
        <f>92481+73795+43350+8841+1153+2869+1615+2831+1620+630+2477+726+513+481+318+38+33+104+1359+1394+447+238+297+356</f>
        <v>237966</v>
      </c>
      <c r="AQ64" s="768">
        <f t="shared" si="18"/>
        <v>10.396102804602338</v>
      </c>
      <c r="AR64" s="316">
        <v>40956</v>
      </c>
      <c r="AS64" s="509" t="s">
        <v>507</v>
      </c>
      <c r="AT64" s="60"/>
    </row>
    <row r="65" spans="1:46" s="10" customFormat="1" ht="15.75" hidden="1">
      <c r="A65" s="368" t="s">
        <v>520</v>
      </c>
      <c r="B65" s="348"/>
      <c r="C65" s="352" t="s">
        <v>261</v>
      </c>
      <c r="D65" s="361" t="s">
        <v>223</v>
      </c>
      <c r="E65" s="355"/>
      <c r="F65" s="364">
        <v>2</v>
      </c>
      <c r="G65" s="349"/>
      <c r="H65" s="351"/>
      <c r="I65" s="350"/>
      <c r="J65" s="211" t="s">
        <v>744</v>
      </c>
      <c r="K65" s="61" t="s">
        <v>126</v>
      </c>
      <c r="L65" s="65" t="s">
        <v>89</v>
      </c>
      <c r="M65" s="63" t="s">
        <v>749</v>
      </c>
      <c r="N65" s="225">
        <v>40760</v>
      </c>
      <c r="O65" s="64" t="s">
        <v>68</v>
      </c>
      <c r="P65" s="263">
        <v>101</v>
      </c>
      <c r="Q65" s="264">
        <v>1</v>
      </c>
      <c r="R65" s="264">
        <v>18</v>
      </c>
      <c r="S65" s="732">
        <v>0</v>
      </c>
      <c r="T65" s="743">
        <v>0</v>
      </c>
      <c r="U65" s="732">
        <v>0</v>
      </c>
      <c r="V65" s="743">
        <v>0</v>
      </c>
      <c r="W65" s="732">
        <v>0</v>
      </c>
      <c r="X65" s="743">
        <v>0</v>
      </c>
      <c r="Y65" s="846">
        <f t="shared" si="14"/>
        <v>0</v>
      </c>
      <c r="Z65" s="847">
        <f t="shared" si="15"/>
        <v>0</v>
      </c>
      <c r="AA65" s="730">
        <f t="shared" si="16"/>
      </c>
      <c r="AB65" s="731">
        <f t="shared" si="17"/>
      </c>
      <c r="AC65" s="736">
        <v>0</v>
      </c>
      <c r="AD65" s="733">
        <f t="shared" si="19"/>
      </c>
      <c r="AE65" s="747">
        <f t="shared" si="20"/>
        <v>1782</v>
      </c>
      <c r="AF65" s="748">
        <f t="shared" si="21"/>
        <v>356</v>
      </c>
      <c r="AG65" s="764">
        <v>1782</v>
      </c>
      <c r="AH65" s="765">
        <v>356</v>
      </c>
      <c r="AI65" s="751">
        <f t="shared" si="22"/>
        <v>0</v>
      </c>
      <c r="AJ65" s="751">
        <f t="shared" si="23"/>
        <v>1</v>
      </c>
      <c r="AK65" s="748">
        <f t="shared" si="24"/>
        <v>356</v>
      </c>
      <c r="AL65" s="752">
        <f t="shared" si="25"/>
        <v>5.00561797752809</v>
      </c>
      <c r="AM65" s="753"/>
      <c r="AN65" s="751"/>
      <c r="AO65" s="497">
        <f>1123387+667871.5+450599+390225.5+158633+89754+30860+15969.5+11575.5+6763.5+3494.5+5145+1782+1782+950.5+4039+1425.5+1782</f>
        <v>2966039</v>
      </c>
      <c r="AP65" s="498">
        <f>108166+64485+43907+41233+19918+12468+4923+2605+2337+1591+622+1207+446+446+238+1009+356+356</f>
        <v>306313</v>
      </c>
      <c r="AQ65" s="768">
        <f t="shared" si="18"/>
        <v>9.683033367829639</v>
      </c>
      <c r="AR65" s="316">
        <v>40956</v>
      </c>
      <c r="AS65" s="509" t="s">
        <v>508</v>
      </c>
      <c r="AT65" s="60"/>
    </row>
    <row r="66" spans="1:46" s="10" customFormat="1" ht="15.75" hidden="1">
      <c r="A66" s="368" t="s">
        <v>521</v>
      </c>
      <c r="B66" s="348"/>
      <c r="C66" s="352" t="s">
        <v>261</v>
      </c>
      <c r="D66" s="361" t="s">
        <v>223</v>
      </c>
      <c r="E66" s="355"/>
      <c r="F66" s="364">
        <v>2</v>
      </c>
      <c r="G66" s="349"/>
      <c r="H66" s="351"/>
      <c r="I66" s="350"/>
      <c r="J66" s="211" t="s">
        <v>745</v>
      </c>
      <c r="K66" s="61" t="s">
        <v>126</v>
      </c>
      <c r="L66" s="65" t="s">
        <v>89</v>
      </c>
      <c r="M66" s="63" t="s">
        <v>750</v>
      </c>
      <c r="N66" s="225">
        <v>40228</v>
      </c>
      <c r="O66" s="64" t="s">
        <v>68</v>
      </c>
      <c r="P66" s="263">
        <v>88</v>
      </c>
      <c r="Q66" s="264">
        <v>1</v>
      </c>
      <c r="R66" s="264">
        <v>26</v>
      </c>
      <c r="S66" s="732">
        <v>0</v>
      </c>
      <c r="T66" s="743">
        <v>0</v>
      </c>
      <c r="U66" s="732">
        <v>0</v>
      </c>
      <c r="V66" s="743">
        <v>0</v>
      </c>
      <c r="W66" s="732">
        <v>0</v>
      </c>
      <c r="X66" s="743">
        <v>0</v>
      </c>
      <c r="Y66" s="846">
        <f t="shared" si="14"/>
        <v>0</v>
      </c>
      <c r="Z66" s="847">
        <f t="shared" si="15"/>
        <v>0</v>
      </c>
      <c r="AA66" s="730">
        <f t="shared" si="16"/>
      </c>
      <c r="AB66" s="731">
        <f t="shared" si="17"/>
      </c>
      <c r="AC66" s="736">
        <v>0</v>
      </c>
      <c r="AD66" s="733">
        <f t="shared" si="19"/>
      </c>
      <c r="AE66" s="747">
        <f t="shared" si="20"/>
        <v>1782</v>
      </c>
      <c r="AF66" s="748">
        <f t="shared" si="21"/>
        <v>356</v>
      </c>
      <c r="AG66" s="764">
        <v>1782</v>
      </c>
      <c r="AH66" s="765">
        <v>356</v>
      </c>
      <c r="AI66" s="751">
        <f t="shared" si="22"/>
        <v>0</v>
      </c>
      <c r="AJ66" s="751">
        <f t="shared" si="23"/>
        <v>1</v>
      </c>
      <c r="AK66" s="748">
        <f t="shared" si="24"/>
        <v>356</v>
      </c>
      <c r="AL66" s="752">
        <f t="shared" si="25"/>
        <v>5.00561797752809</v>
      </c>
      <c r="AM66" s="753"/>
      <c r="AN66" s="751"/>
      <c r="AO66" s="497">
        <f>848677.55+469+99+661+35+1782+1782+1782</f>
        <v>855287.55</v>
      </c>
      <c r="AP66" s="498">
        <f>99747+71+15+97+3+445+445+356</f>
        <v>101179</v>
      </c>
      <c r="AQ66" s="768">
        <f t="shared" si="18"/>
        <v>8.453212128999102</v>
      </c>
      <c r="AR66" s="316">
        <v>40956</v>
      </c>
      <c r="AS66" s="509" t="s">
        <v>509</v>
      </c>
      <c r="AT66" s="60"/>
    </row>
    <row r="67" spans="1:46" s="10" customFormat="1" ht="15.75" hidden="1">
      <c r="A67" s="368" t="s">
        <v>522</v>
      </c>
      <c r="B67" s="348"/>
      <c r="C67" s="352" t="s">
        <v>261</v>
      </c>
      <c r="D67" s="361" t="s">
        <v>223</v>
      </c>
      <c r="E67" s="355"/>
      <c r="F67" s="355"/>
      <c r="G67" s="349"/>
      <c r="H67" s="351"/>
      <c r="I67" s="350"/>
      <c r="J67" s="211" t="s">
        <v>751</v>
      </c>
      <c r="K67" s="61" t="s">
        <v>752</v>
      </c>
      <c r="L67" s="65" t="s">
        <v>273</v>
      </c>
      <c r="M67" s="63" t="s">
        <v>748</v>
      </c>
      <c r="N67" s="225">
        <v>40193</v>
      </c>
      <c r="O67" s="64" t="s">
        <v>68</v>
      </c>
      <c r="P67" s="263">
        <v>55</v>
      </c>
      <c r="Q67" s="264">
        <v>1</v>
      </c>
      <c r="R67" s="264">
        <v>32</v>
      </c>
      <c r="S67" s="732">
        <v>0</v>
      </c>
      <c r="T67" s="743">
        <v>0</v>
      </c>
      <c r="U67" s="732">
        <v>0</v>
      </c>
      <c r="V67" s="743">
        <v>0</v>
      </c>
      <c r="W67" s="732">
        <v>0</v>
      </c>
      <c r="X67" s="743">
        <v>0</v>
      </c>
      <c r="Y67" s="846">
        <f t="shared" si="14"/>
        <v>0</v>
      </c>
      <c r="Z67" s="847">
        <f t="shared" si="15"/>
        <v>0</v>
      </c>
      <c r="AA67" s="730">
        <f t="shared" si="16"/>
      </c>
      <c r="AB67" s="731">
        <f t="shared" si="17"/>
      </c>
      <c r="AC67" s="736">
        <v>0</v>
      </c>
      <c r="AD67" s="733">
        <f t="shared" si="19"/>
      </c>
      <c r="AE67" s="747">
        <f t="shared" si="20"/>
        <v>1782</v>
      </c>
      <c r="AF67" s="748">
        <f t="shared" si="21"/>
        <v>356</v>
      </c>
      <c r="AG67" s="764">
        <v>1782</v>
      </c>
      <c r="AH67" s="765">
        <v>356</v>
      </c>
      <c r="AI67" s="751">
        <f t="shared" si="22"/>
        <v>0</v>
      </c>
      <c r="AJ67" s="751">
        <f t="shared" si="23"/>
        <v>1</v>
      </c>
      <c r="AK67" s="748">
        <f t="shared" si="24"/>
        <v>356</v>
      </c>
      <c r="AL67" s="752">
        <f t="shared" si="25"/>
        <v>5.00561797752809</v>
      </c>
      <c r="AM67" s="753"/>
      <c r="AN67" s="751"/>
      <c r="AO67" s="497">
        <f>197266+158498+94472.5+25746.5+5341+4975+4175+3550+3868+6158+8020+1277+951+3397+4599+198+566+1146+2247.5+174+31.5+2775.5+1188+735+2376+307+324+2613.5+1782+1782+1782+1782</f>
        <v>544104</v>
      </c>
      <c r="AP67" s="498">
        <f>19567+17056+12441+3194+866+909+697+693+818+1478+1988+298+238+832+1154+55+212+207+411+57+12+610+297+71+594+46+71+653+445+445+445+356</f>
        <v>67216</v>
      </c>
      <c r="AQ67" s="768">
        <f t="shared" si="18"/>
        <v>8.094858367055464</v>
      </c>
      <c r="AR67" s="316">
        <v>40956</v>
      </c>
      <c r="AS67" s="509" t="s">
        <v>510</v>
      </c>
      <c r="AT67" s="60"/>
    </row>
    <row r="68" spans="1:46" s="10" customFormat="1" ht="15.75" hidden="1">
      <c r="A68" s="368" t="s">
        <v>523</v>
      </c>
      <c r="B68" s="348"/>
      <c r="C68" s="352" t="s">
        <v>261</v>
      </c>
      <c r="D68" s="349"/>
      <c r="E68" s="349"/>
      <c r="F68" s="369"/>
      <c r="G68" s="360" t="s">
        <v>292</v>
      </c>
      <c r="H68" s="354" t="s">
        <v>55</v>
      </c>
      <c r="I68" s="351"/>
      <c r="J68" s="211" t="s">
        <v>442</v>
      </c>
      <c r="K68" s="63" t="s">
        <v>459</v>
      </c>
      <c r="L68" s="63" t="s">
        <v>89</v>
      </c>
      <c r="M68" s="63" t="s">
        <v>464</v>
      </c>
      <c r="N68" s="225">
        <v>39738</v>
      </c>
      <c r="O68" s="64" t="s">
        <v>68</v>
      </c>
      <c r="P68" s="263">
        <v>67</v>
      </c>
      <c r="Q68" s="264">
        <v>2</v>
      </c>
      <c r="R68" s="264">
        <v>51</v>
      </c>
      <c r="S68" s="732">
        <v>0</v>
      </c>
      <c r="T68" s="743">
        <v>0</v>
      </c>
      <c r="U68" s="732">
        <v>0</v>
      </c>
      <c r="V68" s="743">
        <v>0</v>
      </c>
      <c r="W68" s="732">
        <v>0</v>
      </c>
      <c r="X68" s="743">
        <v>0</v>
      </c>
      <c r="Y68" s="846">
        <f t="shared" si="14"/>
        <v>0</v>
      </c>
      <c r="Z68" s="847">
        <f t="shared" si="15"/>
        <v>0</v>
      </c>
      <c r="AA68" s="730">
        <f t="shared" si="16"/>
      </c>
      <c r="AB68" s="731">
        <f t="shared" si="17"/>
      </c>
      <c r="AC68" s="736">
        <v>0</v>
      </c>
      <c r="AD68" s="733">
        <f t="shared" si="19"/>
      </c>
      <c r="AE68" s="747">
        <f t="shared" si="20"/>
        <v>1780</v>
      </c>
      <c r="AF68" s="748">
        <f t="shared" si="21"/>
        <v>356</v>
      </c>
      <c r="AG68" s="764">
        <v>1780</v>
      </c>
      <c r="AH68" s="765">
        <v>356</v>
      </c>
      <c r="AI68" s="751">
        <f t="shared" si="22"/>
        <v>0</v>
      </c>
      <c r="AJ68" s="751">
        <f t="shared" si="23"/>
        <v>1</v>
      </c>
      <c r="AK68" s="748">
        <f t="shared" si="24"/>
        <v>178</v>
      </c>
      <c r="AL68" s="752">
        <f t="shared" si="25"/>
        <v>5</v>
      </c>
      <c r="AM68" s="753"/>
      <c r="AN68" s="751">
        <f>IF(AM68&lt;&gt;0,-(AM68-AG68)/AM68,"")</f>
      </c>
      <c r="AO68" s="497">
        <f>575413.5+2968+2376+2737+2376+2376+4752+2376+952+1780+226+286+162+6416+4040+1780+1780</f>
        <v>612796.5</v>
      </c>
      <c r="AP68" s="498">
        <f>83313+742+594+635+594+594+1188+594+238+445+36+42+39+1604+1010+356+356</f>
        <v>92380</v>
      </c>
      <c r="AQ68" s="768">
        <f t="shared" si="18"/>
        <v>6.633432561160424</v>
      </c>
      <c r="AR68" s="316">
        <v>40956</v>
      </c>
      <c r="AS68" s="509" t="s">
        <v>511</v>
      </c>
      <c r="AT68" s="257"/>
    </row>
    <row r="69" spans="1:46" s="10" customFormat="1" ht="15.75" hidden="1">
      <c r="A69" s="368" t="s">
        <v>524</v>
      </c>
      <c r="B69" s="348"/>
      <c r="C69" s="352" t="s">
        <v>261</v>
      </c>
      <c r="D69" s="355"/>
      <c r="E69" s="355"/>
      <c r="F69" s="355"/>
      <c r="G69" s="349"/>
      <c r="H69" s="351"/>
      <c r="I69" s="350"/>
      <c r="J69" s="211" t="s">
        <v>746</v>
      </c>
      <c r="K69" s="61" t="s">
        <v>753</v>
      </c>
      <c r="L69" s="65" t="s">
        <v>89</v>
      </c>
      <c r="M69" s="63" t="s">
        <v>747</v>
      </c>
      <c r="N69" s="225">
        <v>39969</v>
      </c>
      <c r="O69" s="64" t="s">
        <v>68</v>
      </c>
      <c r="P69" s="263">
        <v>20</v>
      </c>
      <c r="Q69" s="264">
        <v>1</v>
      </c>
      <c r="R69" s="264">
        <v>21</v>
      </c>
      <c r="S69" s="732">
        <v>0</v>
      </c>
      <c r="T69" s="743">
        <v>0</v>
      </c>
      <c r="U69" s="732">
        <v>0</v>
      </c>
      <c r="V69" s="743">
        <v>0</v>
      </c>
      <c r="W69" s="732">
        <v>0</v>
      </c>
      <c r="X69" s="743">
        <v>0</v>
      </c>
      <c r="Y69" s="846">
        <f t="shared" si="14"/>
        <v>0</v>
      </c>
      <c r="Z69" s="847">
        <f t="shared" si="15"/>
        <v>0</v>
      </c>
      <c r="AA69" s="730">
        <f t="shared" si="16"/>
      </c>
      <c r="AB69" s="731">
        <f t="shared" si="17"/>
      </c>
      <c r="AC69" s="736">
        <v>0</v>
      </c>
      <c r="AD69" s="733">
        <f t="shared" si="19"/>
      </c>
      <c r="AE69" s="747">
        <f t="shared" si="20"/>
        <v>1780</v>
      </c>
      <c r="AF69" s="748">
        <f t="shared" si="21"/>
        <v>356</v>
      </c>
      <c r="AG69" s="764">
        <v>1780</v>
      </c>
      <c r="AH69" s="765">
        <v>356</v>
      </c>
      <c r="AI69" s="751">
        <f t="shared" si="22"/>
        <v>0</v>
      </c>
      <c r="AJ69" s="751">
        <f t="shared" si="23"/>
        <v>1</v>
      </c>
      <c r="AK69" s="748">
        <f t="shared" si="24"/>
        <v>356</v>
      </c>
      <c r="AL69" s="752">
        <f t="shared" si="25"/>
        <v>5</v>
      </c>
      <c r="AM69" s="753"/>
      <c r="AN69" s="751"/>
      <c r="AO69" s="497">
        <f>63821.75+29583.75+16102.25+8771.25+5888+8492.5+1761+3162+5226+2267+1186.5+1122.5+1305+832+660+301+151+1780+1780+1308+1780</f>
        <v>157281.5</v>
      </c>
      <c r="AP69" s="498">
        <f>6069+3045+2422+1546+1020+1313+402+594+954+378+185+151+256+78+122+64+34+445+445+327+356</f>
        <v>20206</v>
      </c>
      <c r="AQ69" s="768">
        <f t="shared" si="18"/>
        <v>7.783900821538157</v>
      </c>
      <c r="AR69" s="316">
        <v>40956</v>
      </c>
      <c r="AS69" s="509" t="s">
        <v>512</v>
      </c>
      <c r="AT69" s="60"/>
    </row>
    <row r="70" spans="1:46" s="10" customFormat="1" ht="15.75" hidden="1">
      <c r="A70" s="368" t="s">
        <v>307</v>
      </c>
      <c r="B70" s="348"/>
      <c r="C70" s="352" t="s">
        <v>261</v>
      </c>
      <c r="D70" s="349"/>
      <c r="E70" s="355"/>
      <c r="F70" s="349"/>
      <c r="G70" s="349"/>
      <c r="H70" s="350"/>
      <c r="I70" s="350"/>
      <c r="J70" s="211" t="s">
        <v>693</v>
      </c>
      <c r="K70" s="63" t="s">
        <v>706</v>
      </c>
      <c r="L70" s="65"/>
      <c r="M70" s="63" t="s">
        <v>699</v>
      </c>
      <c r="N70" s="225">
        <v>40662</v>
      </c>
      <c r="O70" s="64" t="s">
        <v>68</v>
      </c>
      <c r="P70" s="263">
        <v>19</v>
      </c>
      <c r="Q70" s="264">
        <v>1</v>
      </c>
      <c r="R70" s="264">
        <v>25</v>
      </c>
      <c r="S70" s="732">
        <v>0</v>
      </c>
      <c r="T70" s="743">
        <v>0</v>
      </c>
      <c r="U70" s="732">
        <v>0</v>
      </c>
      <c r="V70" s="743">
        <v>0</v>
      </c>
      <c r="W70" s="732">
        <v>0</v>
      </c>
      <c r="X70" s="743">
        <v>0</v>
      </c>
      <c r="Y70" s="846">
        <f t="shared" si="14"/>
        <v>0</v>
      </c>
      <c r="Z70" s="847">
        <f t="shared" si="15"/>
        <v>0</v>
      </c>
      <c r="AA70" s="730"/>
      <c r="AB70" s="731"/>
      <c r="AC70" s="736">
        <v>0</v>
      </c>
      <c r="AD70" s="733">
        <f t="shared" si="19"/>
      </c>
      <c r="AE70" s="747">
        <f t="shared" si="20"/>
        <v>560</v>
      </c>
      <c r="AF70" s="748">
        <f t="shared" si="21"/>
        <v>248</v>
      </c>
      <c r="AG70" s="764">
        <v>560</v>
      </c>
      <c r="AH70" s="765">
        <v>248</v>
      </c>
      <c r="AI70" s="751">
        <f t="shared" si="22"/>
        <v>0</v>
      </c>
      <c r="AJ70" s="751">
        <f t="shared" si="23"/>
        <v>1</v>
      </c>
      <c r="AK70" s="748">
        <f t="shared" si="24"/>
        <v>248</v>
      </c>
      <c r="AL70" s="752">
        <f t="shared" si="25"/>
        <v>2.2580645161290325</v>
      </c>
      <c r="AM70" s="753"/>
      <c r="AN70" s="751"/>
      <c r="AO70" s="497">
        <f>101742.25+50164.5+51750+9401+13450.5+18562.5+28682+16047.5+15912+8384+5213+12043+3980+9461+6303.5+6271+2673+6139.5+1849.5+1109+1307+722+1188+3801.5+560</f>
        <v>376717.25</v>
      </c>
      <c r="AP70" s="498">
        <f>8064+3844+5093+985+1765+2797+3793+2133+2232+1161+795+1735+578+1201+748+718+399+835+292+171+327+184+297+760+248</f>
        <v>41155</v>
      </c>
      <c r="AQ70" s="768">
        <f t="shared" si="18"/>
        <v>9.15362045923946</v>
      </c>
      <c r="AR70" s="316">
        <v>40956</v>
      </c>
      <c r="AS70" s="509" t="s">
        <v>519</v>
      </c>
      <c r="AT70" s="60"/>
    </row>
    <row r="71" spans="1:46" s="10" customFormat="1" ht="15.75" hidden="1">
      <c r="A71" s="368" t="s">
        <v>525</v>
      </c>
      <c r="B71" s="348"/>
      <c r="C71" s="352" t="s">
        <v>261</v>
      </c>
      <c r="D71" s="349"/>
      <c r="E71" s="349"/>
      <c r="F71" s="349"/>
      <c r="G71" s="349"/>
      <c r="H71" s="350"/>
      <c r="I71" s="353" t="s">
        <v>54</v>
      </c>
      <c r="J71" s="211" t="s">
        <v>73</v>
      </c>
      <c r="K71" s="63" t="s">
        <v>87</v>
      </c>
      <c r="L71" s="63"/>
      <c r="M71" s="63" t="s">
        <v>73</v>
      </c>
      <c r="N71" s="225">
        <v>40858</v>
      </c>
      <c r="O71" s="64" t="s">
        <v>68</v>
      </c>
      <c r="P71" s="263">
        <v>32</v>
      </c>
      <c r="Q71" s="264">
        <v>1</v>
      </c>
      <c r="R71" s="264">
        <v>15</v>
      </c>
      <c r="S71" s="732">
        <v>0</v>
      </c>
      <c r="T71" s="743">
        <v>0</v>
      </c>
      <c r="U71" s="732">
        <v>0</v>
      </c>
      <c r="V71" s="743">
        <v>0</v>
      </c>
      <c r="W71" s="732">
        <v>0</v>
      </c>
      <c r="X71" s="743">
        <v>0</v>
      </c>
      <c r="Y71" s="846">
        <f t="shared" si="14"/>
        <v>0</v>
      </c>
      <c r="Z71" s="847">
        <f t="shared" si="15"/>
        <v>0</v>
      </c>
      <c r="AA71" s="730">
        <f>IF(Y71&lt;&gt;0,Z71/Q71,"")</f>
      </c>
      <c r="AB71" s="731">
        <f>IF(Y71&lt;&gt;0,Y71/Z71,"")</f>
      </c>
      <c r="AC71" s="736">
        <v>0</v>
      </c>
      <c r="AD71" s="733">
        <f t="shared" si="19"/>
      </c>
      <c r="AE71" s="747">
        <f t="shared" si="20"/>
        <v>96</v>
      </c>
      <c r="AF71" s="748">
        <f t="shared" si="21"/>
        <v>32</v>
      </c>
      <c r="AG71" s="764">
        <v>96</v>
      </c>
      <c r="AH71" s="765">
        <v>32</v>
      </c>
      <c r="AI71" s="751">
        <f t="shared" si="22"/>
        <v>0</v>
      </c>
      <c r="AJ71" s="751">
        <f t="shared" si="23"/>
        <v>1</v>
      </c>
      <c r="AK71" s="748">
        <f t="shared" si="24"/>
        <v>32</v>
      </c>
      <c r="AL71" s="752">
        <f t="shared" si="25"/>
        <v>3</v>
      </c>
      <c r="AM71" s="753">
        <v>937</v>
      </c>
      <c r="AN71" s="751">
        <f>IF(AM71&lt;&gt;0,-(AM71-AG71)/AM71,"")</f>
        <v>-0.8975453575240128</v>
      </c>
      <c r="AO71" s="497">
        <f>119417+74006.5+30939.5+15734+17682+7740+3814.5+5519+937+732+479+1782+1188+713+96</f>
        <v>280779.5</v>
      </c>
      <c r="AP71" s="498">
        <f>12383+8559+4204+1986+2778+1301+707+782+165+115+82+325+238+143+32</f>
        <v>33800</v>
      </c>
      <c r="AQ71" s="768">
        <f t="shared" si="18"/>
        <v>8.307085798816567</v>
      </c>
      <c r="AR71" s="316">
        <v>40956</v>
      </c>
      <c r="AS71" s="509" t="s">
        <v>522</v>
      </c>
      <c r="AT71" s="60"/>
    </row>
    <row r="72" spans="1:46" s="10" customFormat="1" ht="15.75" hidden="1">
      <c r="A72" s="368" t="s">
        <v>526</v>
      </c>
      <c r="B72" s="349"/>
      <c r="C72" s="352" t="s">
        <v>261</v>
      </c>
      <c r="D72" s="348"/>
      <c r="E72" s="350"/>
      <c r="F72" s="364">
        <v>2</v>
      </c>
      <c r="G72" s="350"/>
      <c r="H72" s="348"/>
      <c r="I72" s="350"/>
      <c r="J72" s="209" t="s">
        <v>540</v>
      </c>
      <c r="K72" s="61" t="s">
        <v>541</v>
      </c>
      <c r="L72" s="68" t="s">
        <v>94</v>
      </c>
      <c r="M72" s="68" t="s">
        <v>542</v>
      </c>
      <c r="N72" s="225">
        <v>40788</v>
      </c>
      <c r="O72" s="64" t="s">
        <v>12</v>
      </c>
      <c r="P72" s="263">
        <v>89</v>
      </c>
      <c r="Q72" s="264">
        <v>1</v>
      </c>
      <c r="R72" s="264">
        <v>19</v>
      </c>
      <c r="S72" s="744">
        <v>0</v>
      </c>
      <c r="T72" s="745">
        <v>0</v>
      </c>
      <c r="U72" s="744">
        <v>0</v>
      </c>
      <c r="V72" s="745">
        <v>0</v>
      </c>
      <c r="W72" s="744">
        <v>0</v>
      </c>
      <c r="X72" s="745">
        <v>0</v>
      </c>
      <c r="Y72" s="846">
        <f t="shared" si="14"/>
        <v>0</v>
      </c>
      <c r="Z72" s="847">
        <f t="shared" si="15"/>
        <v>0</v>
      </c>
      <c r="AA72" s="730">
        <f>IF(Y72&lt;&gt;0,Z72/Q72,"")</f>
      </c>
      <c r="AB72" s="731">
        <f>IF(Y72&lt;&gt;0,Y72/Z72,"")</f>
      </c>
      <c r="AC72" s="736">
        <v>0</v>
      </c>
      <c r="AD72" s="733">
        <f t="shared" si="19"/>
      </c>
      <c r="AE72" s="747">
        <f t="shared" si="20"/>
        <v>1197</v>
      </c>
      <c r="AF72" s="748">
        <f t="shared" si="21"/>
        <v>189</v>
      </c>
      <c r="AG72" s="756">
        <v>1197</v>
      </c>
      <c r="AH72" s="757">
        <v>189</v>
      </c>
      <c r="AI72" s="751">
        <f t="shared" si="22"/>
        <v>0</v>
      </c>
      <c r="AJ72" s="751">
        <f t="shared" si="23"/>
        <v>1</v>
      </c>
      <c r="AK72" s="748">
        <f t="shared" si="24"/>
        <v>189</v>
      </c>
      <c r="AL72" s="752">
        <f t="shared" si="25"/>
        <v>6.333333333333333</v>
      </c>
      <c r="AM72" s="758">
        <v>315</v>
      </c>
      <c r="AN72" s="751">
        <f>IF(AM72&lt;&gt;0,-(AM72-AG72)/AM72,"")</f>
        <v>2.8</v>
      </c>
      <c r="AO72" s="268">
        <v>2029519</v>
      </c>
      <c r="AP72" s="269">
        <v>203843</v>
      </c>
      <c r="AQ72" s="768">
        <f t="shared" si="18"/>
        <v>9.956284984031829</v>
      </c>
      <c r="AR72" s="316">
        <v>40956</v>
      </c>
      <c r="AS72" s="509" t="s">
        <v>515</v>
      </c>
      <c r="AT72" s="60"/>
    </row>
    <row r="73" spans="1:46" s="10" customFormat="1" ht="15.75" hidden="1">
      <c r="A73" s="368" t="s">
        <v>527</v>
      </c>
      <c r="B73" s="348"/>
      <c r="C73" s="352" t="s">
        <v>261</v>
      </c>
      <c r="D73" s="349"/>
      <c r="E73" s="349"/>
      <c r="F73" s="349"/>
      <c r="G73" s="349"/>
      <c r="H73" s="350"/>
      <c r="I73" s="353" t="s">
        <v>54</v>
      </c>
      <c r="J73" s="213" t="s">
        <v>731</v>
      </c>
      <c r="K73" s="64" t="s">
        <v>736</v>
      </c>
      <c r="L73" s="64"/>
      <c r="M73" s="64" t="s">
        <v>731</v>
      </c>
      <c r="N73" s="225">
        <v>40606</v>
      </c>
      <c r="O73" s="64" t="s">
        <v>52</v>
      </c>
      <c r="P73" s="284">
        <v>152</v>
      </c>
      <c r="Q73" s="264">
        <v>1</v>
      </c>
      <c r="R73" s="264">
        <v>19</v>
      </c>
      <c r="S73" s="728">
        <v>0</v>
      </c>
      <c r="T73" s="729">
        <v>0</v>
      </c>
      <c r="U73" s="728">
        <v>0</v>
      </c>
      <c r="V73" s="729">
        <v>0</v>
      </c>
      <c r="W73" s="728">
        <v>0</v>
      </c>
      <c r="X73" s="729">
        <v>0</v>
      </c>
      <c r="Y73" s="846">
        <f t="shared" si="14"/>
        <v>0</v>
      </c>
      <c r="Z73" s="847"/>
      <c r="AA73" s="730"/>
      <c r="AB73" s="731"/>
      <c r="AC73" s="736">
        <v>0</v>
      </c>
      <c r="AD73" s="733"/>
      <c r="AE73" s="747">
        <f t="shared" si="20"/>
        <v>2970</v>
      </c>
      <c r="AF73" s="748">
        <f t="shared" si="21"/>
        <v>594</v>
      </c>
      <c r="AG73" s="756">
        <v>2970</v>
      </c>
      <c r="AH73" s="757">
        <v>594</v>
      </c>
      <c r="AI73" s="751">
        <f t="shared" si="22"/>
        <v>0</v>
      </c>
      <c r="AJ73" s="751">
        <f t="shared" si="23"/>
        <v>1</v>
      </c>
      <c r="AK73" s="748">
        <f t="shared" si="24"/>
        <v>594</v>
      </c>
      <c r="AL73" s="752">
        <f t="shared" si="25"/>
        <v>5</v>
      </c>
      <c r="AM73" s="758"/>
      <c r="AN73" s="751"/>
      <c r="AO73" s="268">
        <f>1064857.25+602581.25+269086.5+86552+70688+40243.5+15124.5+5534.5+5248.5+1364+305+140+147+994+250+240+70+55+2970</f>
        <v>2166451</v>
      </c>
      <c r="AP73" s="269">
        <f>118954+67997+33243+12973+11521+6623+2561+922+800+239+45+20+21+199+36+34+14+11+594</f>
        <v>256807</v>
      </c>
      <c r="AQ73" s="768">
        <f t="shared" si="18"/>
        <v>8.436105713629301</v>
      </c>
      <c r="AR73" s="316">
        <v>40956</v>
      </c>
      <c r="AS73" s="509" t="s">
        <v>503</v>
      </c>
      <c r="AT73" s="60"/>
    </row>
    <row r="74" spans="1:46" s="10" customFormat="1" ht="15.75" hidden="1">
      <c r="A74" s="368" t="s">
        <v>408</v>
      </c>
      <c r="B74" s="348"/>
      <c r="C74" s="352" t="s">
        <v>261</v>
      </c>
      <c r="D74" s="349"/>
      <c r="E74" s="349"/>
      <c r="F74" s="349"/>
      <c r="G74" s="349"/>
      <c r="H74" s="350"/>
      <c r="I74" s="357"/>
      <c r="J74" s="213" t="s">
        <v>732</v>
      </c>
      <c r="K74" s="64" t="s">
        <v>734</v>
      </c>
      <c r="L74" s="64" t="s">
        <v>99</v>
      </c>
      <c r="M74" s="64" t="s">
        <v>764</v>
      </c>
      <c r="N74" s="225">
        <v>39423</v>
      </c>
      <c r="O74" s="64" t="s">
        <v>52</v>
      </c>
      <c r="P74" s="284">
        <v>164</v>
      </c>
      <c r="Q74" s="264">
        <v>1</v>
      </c>
      <c r="R74" s="264">
        <v>25</v>
      </c>
      <c r="S74" s="728">
        <v>0</v>
      </c>
      <c r="T74" s="729">
        <v>0</v>
      </c>
      <c r="U74" s="728">
        <v>0</v>
      </c>
      <c r="V74" s="729">
        <v>0</v>
      </c>
      <c r="W74" s="728">
        <v>0</v>
      </c>
      <c r="X74" s="729">
        <v>0</v>
      </c>
      <c r="Y74" s="846">
        <f t="shared" si="14"/>
        <v>0</v>
      </c>
      <c r="Z74" s="847"/>
      <c r="AA74" s="730"/>
      <c r="AB74" s="731"/>
      <c r="AC74" s="736">
        <v>0</v>
      </c>
      <c r="AD74" s="733"/>
      <c r="AE74" s="747">
        <f t="shared" si="20"/>
        <v>1901</v>
      </c>
      <c r="AF74" s="748">
        <f t="shared" si="21"/>
        <v>380</v>
      </c>
      <c r="AG74" s="756">
        <v>1901</v>
      </c>
      <c r="AH74" s="757">
        <v>380</v>
      </c>
      <c r="AI74" s="751">
        <f t="shared" si="22"/>
        <v>0</v>
      </c>
      <c r="AJ74" s="751">
        <f t="shared" si="23"/>
        <v>1</v>
      </c>
      <c r="AK74" s="748">
        <f t="shared" si="24"/>
        <v>380</v>
      </c>
      <c r="AL74" s="752">
        <f t="shared" si="25"/>
        <v>5.002631578947368</v>
      </c>
      <c r="AM74" s="758"/>
      <c r="AN74" s="751"/>
      <c r="AO74" s="268">
        <f>3571428+831+1901</f>
        <v>3574160</v>
      </c>
      <c r="AP74" s="269">
        <f>442208+166+380</f>
        <v>442754</v>
      </c>
      <c r="AQ74" s="768">
        <f t="shared" si="18"/>
        <v>8.07256399716321</v>
      </c>
      <c r="AR74" s="316">
        <v>40956</v>
      </c>
      <c r="AS74" s="509" t="s">
        <v>505</v>
      </c>
      <c r="AT74" s="60"/>
    </row>
    <row r="75" spans="1:46" s="10" customFormat="1" ht="15.75" hidden="1">
      <c r="A75" s="368" t="s">
        <v>528</v>
      </c>
      <c r="B75" s="348"/>
      <c r="C75" s="352" t="s">
        <v>261</v>
      </c>
      <c r="D75" s="349"/>
      <c r="E75" s="349"/>
      <c r="F75" s="349"/>
      <c r="G75" s="349"/>
      <c r="H75" s="350"/>
      <c r="I75" s="353" t="s">
        <v>54</v>
      </c>
      <c r="J75" s="213" t="s">
        <v>733</v>
      </c>
      <c r="K75" s="64" t="s">
        <v>735</v>
      </c>
      <c r="L75" s="64"/>
      <c r="M75" s="64" t="s">
        <v>733</v>
      </c>
      <c r="N75" s="225">
        <v>40165</v>
      </c>
      <c r="O75" s="64" t="s">
        <v>52</v>
      </c>
      <c r="P75" s="284">
        <v>38</v>
      </c>
      <c r="Q75" s="264">
        <v>1</v>
      </c>
      <c r="R75" s="264">
        <v>37</v>
      </c>
      <c r="S75" s="728">
        <v>0</v>
      </c>
      <c r="T75" s="729">
        <v>0</v>
      </c>
      <c r="U75" s="728">
        <v>0</v>
      </c>
      <c r="V75" s="729">
        <v>0</v>
      </c>
      <c r="W75" s="728">
        <v>0</v>
      </c>
      <c r="X75" s="729"/>
      <c r="Y75" s="846">
        <f t="shared" si="14"/>
        <v>0</v>
      </c>
      <c r="Z75" s="847"/>
      <c r="AA75" s="730"/>
      <c r="AB75" s="731"/>
      <c r="AC75" s="736">
        <v>0</v>
      </c>
      <c r="AD75" s="733"/>
      <c r="AE75" s="747">
        <f t="shared" si="20"/>
        <v>1188</v>
      </c>
      <c r="AF75" s="748">
        <f t="shared" si="21"/>
        <v>238</v>
      </c>
      <c r="AG75" s="756">
        <v>1188</v>
      </c>
      <c r="AH75" s="757">
        <v>238</v>
      </c>
      <c r="AI75" s="751">
        <f t="shared" si="22"/>
        <v>0</v>
      </c>
      <c r="AJ75" s="751">
        <f t="shared" si="23"/>
        <v>1</v>
      </c>
      <c r="AK75" s="748">
        <f t="shared" si="24"/>
        <v>238</v>
      </c>
      <c r="AL75" s="752">
        <f t="shared" si="25"/>
        <v>4.991596638655462</v>
      </c>
      <c r="AM75" s="758"/>
      <c r="AN75" s="751"/>
      <c r="AO75" s="268">
        <f>1139387+1188</f>
        <v>1140575</v>
      </c>
      <c r="AP75" s="269">
        <f>139628+238</f>
        <v>139866</v>
      </c>
      <c r="AQ75" s="768">
        <f aca="true" t="shared" si="27" ref="AQ75:AQ106">AO75/AP75</f>
        <v>8.15476956515522</v>
      </c>
      <c r="AR75" s="316">
        <v>40956</v>
      </c>
      <c r="AS75" s="509" t="s">
        <v>517</v>
      </c>
      <c r="AT75" s="60"/>
    </row>
    <row r="76" spans="1:46" s="10" customFormat="1" ht="15.75" hidden="1">
      <c r="A76" s="368" t="s">
        <v>529</v>
      </c>
      <c r="B76" s="349"/>
      <c r="C76" s="352" t="s">
        <v>261</v>
      </c>
      <c r="D76" s="361" t="s">
        <v>223</v>
      </c>
      <c r="E76" s="356">
        <v>3</v>
      </c>
      <c r="F76" s="364">
        <v>2</v>
      </c>
      <c r="G76" s="360" t="s">
        <v>292</v>
      </c>
      <c r="H76" s="350"/>
      <c r="I76" s="350"/>
      <c r="J76" s="209" t="s">
        <v>742</v>
      </c>
      <c r="K76" s="61" t="s">
        <v>92</v>
      </c>
      <c r="L76" s="68" t="s">
        <v>94</v>
      </c>
      <c r="M76" s="68" t="s">
        <v>743</v>
      </c>
      <c r="N76" s="225">
        <v>40682</v>
      </c>
      <c r="O76" s="64" t="s">
        <v>12</v>
      </c>
      <c r="P76" s="263">
        <v>115</v>
      </c>
      <c r="Q76" s="264">
        <v>1</v>
      </c>
      <c r="R76" s="264">
        <v>41</v>
      </c>
      <c r="S76" s="741">
        <v>0</v>
      </c>
      <c r="T76" s="742">
        <v>0</v>
      </c>
      <c r="U76" s="741">
        <v>0</v>
      </c>
      <c r="V76" s="742">
        <v>0</v>
      </c>
      <c r="W76" s="741">
        <v>0</v>
      </c>
      <c r="X76" s="742">
        <v>0</v>
      </c>
      <c r="Y76" s="846"/>
      <c r="Z76" s="847"/>
      <c r="AA76" s="730"/>
      <c r="AB76" s="731"/>
      <c r="AC76" s="736"/>
      <c r="AD76" s="733"/>
      <c r="AE76" s="747">
        <f t="shared" si="20"/>
        <v>320</v>
      </c>
      <c r="AF76" s="748">
        <f t="shared" si="21"/>
        <v>20</v>
      </c>
      <c r="AG76" s="756">
        <v>320</v>
      </c>
      <c r="AH76" s="757">
        <v>20</v>
      </c>
      <c r="AI76" s="751">
        <f t="shared" si="22"/>
        <v>0</v>
      </c>
      <c r="AJ76" s="751">
        <f t="shared" si="23"/>
        <v>1</v>
      </c>
      <c r="AK76" s="748">
        <f t="shared" si="24"/>
        <v>20</v>
      </c>
      <c r="AL76" s="752">
        <f t="shared" si="25"/>
        <v>16</v>
      </c>
      <c r="AM76" s="758"/>
      <c r="AN76" s="751"/>
      <c r="AO76" s="268">
        <v>13128382</v>
      </c>
      <c r="AP76" s="269">
        <v>1170803</v>
      </c>
      <c r="AQ76" s="768">
        <f t="shared" si="27"/>
        <v>11.213143457951508</v>
      </c>
      <c r="AR76" s="316">
        <v>40956</v>
      </c>
      <c r="AS76" s="509" t="s">
        <v>407</v>
      </c>
      <c r="AT76" s="60"/>
    </row>
    <row r="77" spans="1:46" s="10" customFormat="1" ht="15.75" hidden="1">
      <c r="A77" s="368" t="s">
        <v>530</v>
      </c>
      <c r="B77" s="358"/>
      <c r="C77" s="352" t="s">
        <v>261</v>
      </c>
      <c r="D77" s="361" t="s">
        <v>223</v>
      </c>
      <c r="E77" s="356">
        <v>3</v>
      </c>
      <c r="F77" s="349"/>
      <c r="G77" s="349"/>
      <c r="H77" s="354" t="s">
        <v>55</v>
      </c>
      <c r="I77" s="357"/>
      <c r="J77" s="207" t="s">
        <v>174</v>
      </c>
      <c r="K77" s="66" t="s">
        <v>185</v>
      </c>
      <c r="L77" s="66" t="s">
        <v>186</v>
      </c>
      <c r="M77" s="66" t="s">
        <v>177</v>
      </c>
      <c r="N77" s="225">
        <v>39710</v>
      </c>
      <c r="O77" s="64" t="s">
        <v>53</v>
      </c>
      <c r="P77" s="280">
        <v>66</v>
      </c>
      <c r="Q77" s="281">
        <v>1</v>
      </c>
      <c r="R77" s="281">
        <v>31</v>
      </c>
      <c r="S77" s="741">
        <v>752</v>
      </c>
      <c r="T77" s="742">
        <v>150</v>
      </c>
      <c r="U77" s="741">
        <v>750</v>
      </c>
      <c r="V77" s="742">
        <v>150</v>
      </c>
      <c r="W77" s="741">
        <v>900</v>
      </c>
      <c r="X77" s="742">
        <v>180</v>
      </c>
      <c r="Y77" s="846">
        <f aca="true" t="shared" si="28" ref="Y77:Y108">SUM(S77+U77+W77)</f>
        <v>2402</v>
      </c>
      <c r="Z77" s="847">
        <f aca="true" t="shared" si="29" ref="Z77:Z108">T77+V77+X77</f>
        <v>480</v>
      </c>
      <c r="AA77" s="730">
        <f aca="true" t="shared" si="30" ref="AA77:AA100">IF(Y77&lt;&gt;0,Z77/Q77,"")</f>
        <v>480</v>
      </c>
      <c r="AB77" s="731">
        <f aca="true" t="shared" si="31" ref="AB77:AB100">IF(Y77&lt;&gt;0,Y77/Z77,"")</f>
        <v>5.004166666666666</v>
      </c>
      <c r="AC77" s="736">
        <v>2402</v>
      </c>
      <c r="AD77" s="733">
        <f aca="true" t="shared" si="32" ref="AD77:AD108">IF(AC77&lt;&gt;0,-(AC77-Y77)/AC77,"")</f>
        <v>0</v>
      </c>
      <c r="AE77" s="747">
        <f t="shared" si="20"/>
        <v>0</v>
      </c>
      <c r="AF77" s="748">
        <f t="shared" si="21"/>
        <v>0</v>
      </c>
      <c r="AG77" s="756">
        <v>2402</v>
      </c>
      <c r="AH77" s="757">
        <v>480</v>
      </c>
      <c r="AI77" s="751">
        <f t="shared" si="22"/>
        <v>1</v>
      </c>
      <c r="AJ77" s="751">
        <f t="shared" si="23"/>
        <v>0</v>
      </c>
      <c r="AK77" s="748">
        <f t="shared" si="24"/>
        <v>480</v>
      </c>
      <c r="AL77" s="752">
        <f t="shared" si="25"/>
        <v>5.004166666666666</v>
      </c>
      <c r="AM77" s="758">
        <v>1201</v>
      </c>
      <c r="AN77" s="751">
        <f aca="true" t="shared" si="33" ref="AN77:AN100">IF(AM77&lt;&gt;0,-(AM77-AG77)/AM77,"")</f>
        <v>1</v>
      </c>
      <c r="AO77" s="268">
        <f>152576+127511+68854.5+21974+10111.5+7103+7290+0.5+1014+3149+989+3524+0.5+3768+138+2528+257+351.5+573.5+184+3655+10+15+10+210+156+3603+3603+1922+1201+1201+2402</f>
        <v>429885</v>
      </c>
      <c r="AP77" s="269">
        <f>50018+825+47+65+137+67+1215+2+3+2+35+26+721+720+384+240+240+480</f>
        <v>55227</v>
      </c>
      <c r="AQ77" s="768">
        <f t="shared" si="27"/>
        <v>7.783964365256125</v>
      </c>
      <c r="AR77" s="316">
        <v>40949</v>
      </c>
      <c r="AS77" s="509" t="s">
        <v>521</v>
      </c>
      <c r="AT77" s="60"/>
    </row>
    <row r="78" spans="1:46" s="10" customFormat="1" ht="15.75" hidden="1">
      <c r="A78" s="368" t="s">
        <v>531</v>
      </c>
      <c r="B78" s="348"/>
      <c r="C78" s="352" t="s">
        <v>261</v>
      </c>
      <c r="D78" s="349"/>
      <c r="E78" s="349"/>
      <c r="F78" s="349"/>
      <c r="G78" s="349"/>
      <c r="H78" s="350"/>
      <c r="I78" s="351"/>
      <c r="J78" s="211" t="s">
        <v>100</v>
      </c>
      <c r="K78" s="61" t="s">
        <v>102</v>
      </c>
      <c r="L78" s="65" t="s">
        <v>79</v>
      </c>
      <c r="M78" s="63" t="s">
        <v>101</v>
      </c>
      <c r="N78" s="225">
        <v>40872</v>
      </c>
      <c r="O78" s="64" t="s">
        <v>68</v>
      </c>
      <c r="P78" s="263">
        <v>20</v>
      </c>
      <c r="Q78" s="264">
        <v>2</v>
      </c>
      <c r="R78" s="264">
        <v>11</v>
      </c>
      <c r="S78" s="732">
        <v>239</v>
      </c>
      <c r="T78" s="743">
        <v>25</v>
      </c>
      <c r="U78" s="732">
        <v>925</v>
      </c>
      <c r="V78" s="743">
        <v>102</v>
      </c>
      <c r="W78" s="732">
        <v>908.5</v>
      </c>
      <c r="X78" s="743">
        <v>98</v>
      </c>
      <c r="Y78" s="846">
        <f t="shared" si="28"/>
        <v>2072.5</v>
      </c>
      <c r="Z78" s="847">
        <f t="shared" si="29"/>
        <v>225</v>
      </c>
      <c r="AA78" s="730">
        <f t="shared" si="30"/>
        <v>112.5</v>
      </c>
      <c r="AB78" s="731">
        <f t="shared" si="31"/>
        <v>9.21111111111111</v>
      </c>
      <c r="AC78" s="736">
        <v>2072.5</v>
      </c>
      <c r="AD78" s="733">
        <f t="shared" si="32"/>
        <v>0</v>
      </c>
      <c r="AE78" s="747">
        <f t="shared" si="20"/>
        <v>3051</v>
      </c>
      <c r="AF78" s="748">
        <f t="shared" si="21"/>
        <v>499</v>
      </c>
      <c r="AG78" s="764">
        <v>5123.5</v>
      </c>
      <c r="AH78" s="765">
        <v>724</v>
      </c>
      <c r="AI78" s="751">
        <f t="shared" si="22"/>
        <v>0.31077348066298344</v>
      </c>
      <c r="AJ78" s="751">
        <f t="shared" si="23"/>
        <v>0.6892265193370166</v>
      </c>
      <c r="AK78" s="748">
        <f t="shared" si="24"/>
        <v>362</v>
      </c>
      <c r="AL78" s="752">
        <f t="shared" si="25"/>
        <v>7.076657458563536</v>
      </c>
      <c r="AM78" s="753">
        <v>2348</v>
      </c>
      <c r="AN78" s="751">
        <f t="shared" si="33"/>
        <v>1.182069846678024</v>
      </c>
      <c r="AO78" s="497">
        <f>176767+122916.5+61599.5+22558.5+2646.5+4568+385+2545+1731+2348+5123.5</f>
        <v>403188.5</v>
      </c>
      <c r="AP78" s="498">
        <f>14023+9525+5052+1961+507+655+55+406+298+346+724</f>
        <v>33552</v>
      </c>
      <c r="AQ78" s="768">
        <f t="shared" si="27"/>
        <v>12.016824630424416</v>
      </c>
      <c r="AR78" s="316">
        <v>40949</v>
      </c>
      <c r="AS78" s="509" t="s">
        <v>501</v>
      </c>
      <c r="AT78" s="60"/>
    </row>
    <row r="79" spans="1:46" s="10" customFormat="1" ht="15.75" hidden="1">
      <c r="A79" s="368" t="s">
        <v>532</v>
      </c>
      <c r="B79" s="349"/>
      <c r="C79" s="352" t="s">
        <v>261</v>
      </c>
      <c r="D79" s="349"/>
      <c r="E79" s="349"/>
      <c r="F79" s="349"/>
      <c r="G79" s="349"/>
      <c r="H79" s="350"/>
      <c r="I79" s="350"/>
      <c r="J79" s="209" t="s">
        <v>200</v>
      </c>
      <c r="K79" s="61" t="s">
        <v>205</v>
      </c>
      <c r="L79" s="68" t="s">
        <v>206</v>
      </c>
      <c r="M79" s="68" t="s">
        <v>204</v>
      </c>
      <c r="N79" s="225">
        <v>40872</v>
      </c>
      <c r="O79" s="64" t="s">
        <v>12</v>
      </c>
      <c r="P79" s="263">
        <v>55</v>
      </c>
      <c r="Q79" s="264">
        <v>2</v>
      </c>
      <c r="R79" s="264">
        <v>12</v>
      </c>
      <c r="S79" s="741">
        <v>184</v>
      </c>
      <c r="T79" s="742">
        <v>20</v>
      </c>
      <c r="U79" s="741">
        <v>744</v>
      </c>
      <c r="V79" s="742">
        <v>77</v>
      </c>
      <c r="W79" s="741">
        <v>921</v>
      </c>
      <c r="X79" s="742">
        <v>95</v>
      </c>
      <c r="Y79" s="846">
        <f t="shared" si="28"/>
        <v>1849</v>
      </c>
      <c r="Z79" s="847">
        <f t="shared" si="29"/>
        <v>192</v>
      </c>
      <c r="AA79" s="730">
        <f t="shared" si="30"/>
        <v>96</v>
      </c>
      <c r="AB79" s="731">
        <f t="shared" si="31"/>
        <v>9.630208333333334</v>
      </c>
      <c r="AC79" s="736">
        <v>1849</v>
      </c>
      <c r="AD79" s="733">
        <f t="shared" si="32"/>
        <v>0</v>
      </c>
      <c r="AE79" s="747">
        <f t="shared" si="20"/>
        <v>1206</v>
      </c>
      <c r="AF79" s="748">
        <f t="shared" si="21"/>
        <v>158</v>
      </c>
      <c r="AG79" s="756">
        <v>3055</v>
      </c>
      <c r="AH79" s="757">
        <v>350</v>
      </c>
      <c r="AI79" s="751">
        <f t="shared" si="22"/>
        <v>0.5485714285714286</v>
      </c>
      <c r="AJ79" s="751">
        <f t="shared" si="23"/>
        <v>0.4514285714285714</v>
      </c>
      <c r="AK79" s="748">
        <f t="shared" si="24"/>
        <v>175</v>
      </c>
      <c r="AL79" s="752">
        <f t="shared" si="25"/>
        <v>8.728571428571428</v>
      </c>
      <c r="AM79" s="758">
        <v>2380</v>
      </c>
      <c r="AN79" s="751">
        <f t="shared" si="33"/>
        <v>0.28361344537815125</v>
      </c>
      <c r="AO79" s="268">
        <v>761032</v>
      </c>
      <c r="AP79" s="269">
        <v>63588</v>
      </c>
      <c r="AQ79" s="768">
        <f t="shared" si="27"/>
        <v>11.968170094986476</v>
      </c>
      <c r="AR79" s="316">
        <v>40949</v>
      </c>
      <c r="AS79" s="509" t="s">
        <v>514</v>
      </c>
      <c r="AT79" s="60"/>
    </row>
    <row r="80" spans="1:46" s="10" customFormat="1" ht="15.75" hidden="1">
      <c r="A80" s="368" t="s">
        <v>533</v>
      </c>
      <c r="B80" s="358"/>
      <c r="C80" s="352" t="s">
        <v>261</v>
      </c>
      <c r="D80" s="359"/>
      <c r="E80" s="359"/>
      <c r="F80" s="355"/>
      <c r="G80" s="360" t="s">
        <v>292</v>
      </c>
      <c r="H80" s="351"/>
      <c r="I80" s="348"/>
      <c r="J80" s="211" t="s">
        <v>86</v>
      </c>
      <c r="K80" s="61" t="s">
        <v>90</v>
      </c>
      <c r="L80" s="66" t="s">
        <v>85</v>
      </c>
      <c r="M80" s="66" t="s">
        <v>84</v>
      </c>
      <c r="N80" s="225">
        <v>40865</v>
      </c>
      <c r="O80" s="64" t="s">
        <v>68</v>
      </c>
      <c r="P80" s="272">
        <v>269</v>
      </c>
      <c r="Q80" s="264">
        <v>3</v>
      </c>
      <c r="R80" s="264">
        <v>12</v>
      </c>
      <c r="S80" s="732">
        <v>392</v>
      </c>
      <c r="T80" s="743">
        <v>67</v>
      </c>
      <c r="U80" s="732">
        <v>672</v>
      </c>
      <c r="V80" s="743">
        <v>108</v>
      </c>
      <c r="W80" s="732">
        <v>708</v>
      </c>
      <c r="X80" s="743">
        <v>113</v>
      </c>
      <c r="Y80" s="846">
        <f t="shared" si="28"/>
        <v>1772</v>
      </c>
      <c r="Z80" s="847">
        <f t="shared" si="29"/>
        <v>288</v>
      </c>
      <c r="AA80" s="730">
        <f t="shared" si="30"/>
        <v>96</v>
      </c>
      <c r="AB80" s="731">
        <f t="shared" si="31"/>
        <v>6.152777777777778</v>
      </c>
      <c r="AC80" s="728">
        <v>1772</v>
      </c>
      <c r="AD80" s="733">
        <f t="shared" si="32"/>
        <v>0</v>
      </c>
      <c r="AE80" s="747">
        <f t="shared" si="20"/>
        <v>964</v>
      </c>
      <c r="AF80" s="748">
        <f t="shared" si="21"/>
        <v>295</v>
      </c>
      <c r="AG80" s="764">
        <v>2736</v>
      </c>
      <c r="AH80" s="765">
        <v>583</v>
      </c>
      <c r="AI80" s="751">
        <f t="shared" si="22"/>
        <v>0.4939965694682676</v>
      </c>
      <c r="AJ80" s="751">
        <f t="shared" si="23"/>
        <v>0.5060034305317325</v>
      </c>
      <c r="AK80" s="748">
        <f t="shared" si="24"/>
        <v>194.33333333333334</v>
      </c>
      <c r="AL80" s="752">
        <f t="shared" si="25"/>
        <v>4.692967409948542</v>
      </c>
      <c r="AM80" s="753">
        <v>513</v>
      </c>
      <c r="AN80" s="751">
        <f t="shared" si="33"/>
        <v>4.333333333333333</v>
      </c>
      <c r="AO80" s="497">
        <f>5909490.25+3097966.75+1490952+971866.5+533653.5+131687+50452.5+9558+4400+2382+513+2984+2736</f>
        <v>12208641.5</v>
      </c>
      <c r="AP80" s="498">
        <f>649738+347416+170125+112162+66621+19435+10184+1583+654+354+78+504+583</f>
        <v>1379437</v>
      </c>
      <c r="AQ80" s="768">
        <f t="shared" si="27"/>
        <v>8.850452394708856</v>
      </c>
      <c r="AR80" s="316">
        <v>40949</v>
      </c>
      <c r="AS80" s="509" t="s">
        <v>519</v>
      </c>
      <c r="AT80" s="60"/>
    </row>
    <row r="81" spans="1:46" s="10" customFormat="1" ht="15.75" hidden="1">
      <c r="A81" s="368" t="s">
        <v>534</v>
      </c>
      <c r="B81" s="349"/>
      <c r="C81" s="349"/>
      <c r="D81" s="349"/>
      <c r="E81" s="349"/>
      <c r="F81" s="349"/>
      <c r="G81" s="349"/>
      <c r="H81" s="350"/>
      <c r="I81" s="350"/>
      <c r="J81" s="209" t="s">
        <v>196</v>
      </c>
      <c r="K81" s="61" t="s">
        <v>212</v>
      </c>
      <c r="L81" s="68" t="s">
        <v>124</v>
      </c>
      <c r="M81" s="68" t="s">
        <v>203</v>
      </c>
      <c r="N81" s="225">
        <v>40907</v>
      </c>
      <c r="O81" s="64" t="s">
        <v>12</v>
      </c>
      <c r="P81" s="263">
        <v>60</v>
      </c>
      <c r="Q81" s="264">
        <v>3</v>
      </c>
      <c r="R81" s="264">
        <v>7</v>
      </c>
      <c r="S81" s="741">
        <v>419</v>
      </c>
      <c r="T81" s="742">
        <v>92</v>
      </c>
      <c r="U81" s="741">
        <v>767</v>
      </c>
      <c r="V81" s="742">
        <v>124</v>
      </c>
      <c r="W81" s="741">
        <v>548</v>
      </c>
      <c r="X81" s="742">
        <v>79</v>
      </c>
      <c r="Y81" s="846">
        <f t="shared" si="28"/>
        <v>1734</v>
      </c>
      <c r="Z81" s="847">
        <f t="shared" si="29"/>
        <v>295</v>
      </c>
      <c r="AA81" s="730">
        <f t="shared" si="30"/>
        <v>98.33333333333333</v>
      </c>
      <c r="AB81" s="731">
        <f t="shared" si="31"/>
        <v>5.877966101694915</v>
      </c>
      <c r="AC81" s="736">
        <v>1734</v>
      </c>
      <c r="AD81" s="733">
        <f t="shared" si="32"/>
        <v>0</v>
      </c>
      <c r="AE81" s="747">
        <f t="shared" si="20"/>
        <v>1387</v>
      </c>
      <c r="AF81" s="748">
        <f t="shared" si="21"/>
        <v>287</v>
      </c>
      <c r="AG81" s="756">
        <v>3121</v>
      </c>
      <c r="AH81" s="757">
        <v>582</v>
      </c>
      <c r="AI81" s="751">
        <f t="shared" si="22"/>
        <v>0.506872852233677</v>
      </c>
      <c r="AJ81" s="751">
        <f t="shared" si="23"/>
        <v>0.49312714776632305</v>
      </c>
      <c r="AK81" s="748">
        <f t="shared" si="24"/>
        <v>194</v>
      </c>
      <c r="AL81" s="752">
        <f t="shared" si="25"/>
        <v>5.36254295532646</v>
      </c>
      <c r="AM81" s="758">
        <v>1983</v>
      </c>
      <c r="AN81" s="751">
        <f t="shared" si="33"/>
        <v>0.5738779626828038</v>
      </c>
      <c r="AO81" s="268">
        <v>670831</v>
      </c>
      <c r="AP81" s="269">
        <v>67329</v>
      </c>
      <c r="AQ81" s="768">
        <f t="shared" si="27"/>
        <v>9.963477847584251</v>
      </c>
      <c r="AR81" s="316">
        <v>40949</v>
      </c>
      <c r="AS81" s="509" t="s">
        <v>372</v>
      </c>
      <c r="AT81" s="60"/>
    </row>
    <row r="82" spans="1:46" s="10" customFormat="1" ht="15.75" hidden="1">
      <c r="A82" s="368" t="s">
        <v>535</v>
      </c>
      <c r="B82" s="348"/>
      <c r="C82" s="352" t="s">
        <v>261</v>
      </c>
      <c r="D82" s="349"/>
      <c r="E82" s="355"/>
      <c r="F82" s="349"/>
      <c r="G82" s="349"/>
      <c r="H82" s="350"/>
      <c r="I82" s="350"/>
      <c r="J82" s="211" t="s">
        <v>190</v>
      </c>
      <c r="K82" s="63" t="s">
        <v>195</v>
      </c>
      <c r="L82" s="65" t="s">
        <v>79</v>
      </c>
      <c r="M82" s="63" t="s">
        <v>192</v>
      </c>
      <c r="N82" s="225">
        <v>40816</v>
      </c>
      <c r="O82" s="64" t="s">
        <v>68</v>
      </c>
      <c r="P82" s="263">
        <v>25</v>
      </c>
      <c r="Q82" s="264">
        <v>13</v>
      </c>
      <c r="R82" s="264">
        <v>3</v>
      </c>
      <c r="S82" s="732">
        <v>450</v>
      </c>
      <c r="T82" s="743">
        <v>75</v>
      </c>
      <c r="U82" s="732">
        <v>582</v>
      </c>
      <c r="V82" s="743">
        <v>97</v>
      </c>
      <c r="W82" s="732">
        <v>618</v>
      </c>
      <c r="X82" s="743">
        <v>103</v>
      </c>
      <c r="Y82" s="846">
        <f t="shared" si="28"/>
        <v>1650</v>
      </c>
      <c r="Z82" s="847">
        <f t="shared" si="29"/>
        <v>275</v>
      </c>
      <c r="AA82" s="730">
        <f t="shared" si="30"/>
        <v>21.153846153846153</v>
      </c>
      <c r="AB82" s="731">
        <f t="shared" si="31"/>
        <v>6</v>
      </c>
      <c r="AC82" s="736">
        <v>1650</v>
      </c>
      <c r="AD82" s="733">
        <f t="shared" si="32"/>
        <v>0</v>
      </c>
      <c r="AE82" s="747">
        <f t="shared" si="20"/>
        <v>-1155</v>
      </c>
      <c r="AF82" s="748">
        <f t="shared" si="21"/>
        <v>-203</v>
      </c>
      <c r="AG82" s="764">
        <v>495</v>
      </c>
      <c r="AH82" s="765">
        <v>72</v>
      </c>
      <c r="AI82" s="751">
        <f t="shared" si="22"/>
        <v>3.8194444444444446</v>
      </c>
      <c r="AJ82" s="751">
        <f t="shared" si="23"/>
        <v>-2.8194444444444446</v>
      </c>
      <c r="AK82" s="748">
        <f t="shared" si="24"/>
        <v>5.538461538461538</v>
      </c>
      <c r="AL82" s="752">
        <f t="shared" si="25"/>
        <v>6.875</v>
      </c>
      <c r="AM82" s="753">
        <v>3320</v>
      </c>
      <c r="AN82" s="751">
        <f t="shared" si="33"/>
        <v>-0.8509036144578314</v>
      </c>
      <c r="AO82" s="497">
        <f>80510.5+53296+49611.5+29276.5+2781+46429+5648+1635+6908.5+15320.5+732+943+3320+5134+495</f>
        <v>302040.5</v>
      </c>
      <c r="AP82" s="498">
        <f>8978+6079+6067+4144+482+6937+761+224+842+1960+107+134+565+664+72</f>
        <v>38016</v>
      </c>
      <c r="AQ82" s="768">
        <f t="shared" si="27"/>
        <v>7.94508890993266</v>
      </c>
      <c r="AR82" s="316">
        <v>40949</v>
      </c>
      <c r="AS82" s="509" t="s">
        <v>575</v>
      </c>
      <c r="AT82" s="60"/>
    </row>
    <row r="83" spans="1:46" s="10" customFormat="1" ht="15.75" hidden="1">
      <c r="A83" s="368" t="s">
        <v>536</v>
      </c>
      <c r="B83" s="348"/>
      <c r="C83" s="352" t="s">
        <v>261</v>
      </c>
      <c r="D83" s="349"/>
      <c r="E83" s="349"/>
      <c r="F83" s="349"/>
      <c r="G83" s="355"/>
      <c r="H83" s="350"/>
      <c r="I83" s="353" t="s">
        <v>54</v>
      </c>
      <c r="J83" s="211" t="s">
        <v>151</v>
      </c>
      <c r="K83" s="61" t="s">
        <v>218</v>
      </c>
      <c r="L83" s="65"/>
      <c r="M83" s="63" t="s">
        <v>151</v>
      </c>
      <c r="N83" s="225">
        <v>40900</v>
      </c>
      <c r="O83" s="64" t="s">
        <v>68</v>
      </c>
      <c r="P83" s="263">
        <v>197</v>
      </c>
      <c r="Q83" s="264">
        <v>5</v>
      </c>
      <c r="R83" s="264">
        <v>8</v>
      </c>
      <c r="S83" s="732">
        <v>421</v>
      </c>
      <c r="T83" s="743">
        <v>75</v>
      </c>
      <c r="U83" s="732">
        <v>556</v>
      </c>
      <c r="V83" s="743">
        <v>97</v>
      </c>
      <c r="W83" s="732">
        <v>605</v>
      </c>
      <c r="X83" s="743">
        <v>106</v>
      </c>
      <c r="Y83" s="846">
        <f t="shared" si="28"/>
        <v>1582</v>
      </c>
      <c r="Z83" s="847">
        <f t="shared" si="29"/>
        <v>278</v>
      </c>
      <c r="AA83" s="730">
        <f t="shared" si="30"/>
        <v>55.6</v>
      </c>
      <c r="AB83" s="731">
        <f t="shared" si="31"/>
        <v>5.690647482014389</v>
      </c>
      <c r="AC83" s="736">
        <v>1582</v>
      </c>
      <c r="AD83" s="733">
        <f t="shared" si="32"/>
        <v>0</v>
      </c>
      <c r="AE83" s="747">
        <f t="shared" si="20"/>
        <v>2017</v>
      </c>
      <c r="AF83" s="748">
        <f t="shared" si="21"/>
        <v>361</v>
      </c>
      <c r="AG83" s="764">
        <v>3599</v>
      </c>
      <c r="AH83" s="765">
        <v>639</v>
      </c>
      <c r="AI83" s="751">
        <f t="shared" si="22"/>
        <v>0.4350547730829421</v>
      </c>
      <c r="AJ83" s="751">
        <f t="shared" si="23"/>
        <v>0.564945226917058</v>
      </c>
      <c r="AK83" s="748">
        <f t="shared" si="24"/>
        <v>127.8</v>
      </c>
      <c r="AL83" s="752">
        <f t="shared" si="25"/>
        <v>5.632237871674492</v>
      </c>
      <c r="AM83" s="753">
        <v>5902</v>
      </c>
      <c r="AN83" s="751">
        <f t="shared" si="33"/>
        <v>-0.3902067095899695</v>
      </c>
      <c r="AO83" s="497">
        <f>985836.5+657011.5+454728.5+206461+72029+16105.51+5902+3599</f>
        <v>2401673.01</v>
      </c>
      <c r="AP83" s="498">
        <f>106718+73176+50608+29114+10776+3413+1375+639</f>
        <v>275819</v>
      </c>
      <c r="AQ83" s="768">
        <f t="shared" si="27"/>
        <v>8.707424107838836</v>
      </c>
      <c r="AR83" s="316">
        <v>40949</v>
      </c>
      <c r="AS83" s="509" t="s">
        <v>509</v>
      </c>
      <c r="AT83" s="60"/>
    </row>
    <row r="84" spans="1:46" s="10" customFormat="1" ht="15.75" hidden="1">
      <c r="A84" s="368" t="s">
        <v>371</v>
      </c>
      <c r="B84" s="348"/>
      <c r="C84" s="352" t="s">
        <v>261</v>
      </c>
      <c r="D84" s="349"/>
      <c r="E84" s="349"/>
      <c r="F84" s="349"/>
      <c r="G84" s="349"/>
      <c r="H84" s="350"/>
      <c r="I84" s="353" t="s">
        <v>54</v>
      </c>
      <c r="J84" s="211" t="s">
        <v>269</v>
      </c>
      <c r="K84" s="61" t="s">
        <v>284</v>
      </c>
      <c r="L84" s="65"/>
      <c r="M84" s="63" t="s">
        <v>269</v>
      </c>
      <c r="N84" s="225">
        <v>40809</v>
      </c>
      <c r="O84" s="64" t="s">
        <v>68</v>
      </c>
      <c r="P84" s="263">
        <v>66</v>
      </c>
      <c r="Q84" s="264">
        <v>2</v>
      </c>
      <c r="R84" s="264">
        <v>17</v>
      </c>
      <c r="S84" s="732">
        <v>471</v>
      </c>
      <c r="T84" s="743">
        <v>115</v>
      </c>
      <c r="U84" s="732">
        <v>378</v>
      </c>
      <c r="V84" s="743">
        <v>54</v>
      </c>
      <c r="W84" s="732">
        <v>714</v>
      </c>
      <c r="X84" s="743">
        <v>185</v>
      </c>
      <c r="Y84" s="846">
        <f t="shared" si="28"/>
        <v>1563</v>
      </c>
      <c r="Z84" s="847">
        <f t="shared" si="29"/>
        <v>354</v>
      </c>
      <c r="AA84" s="730">
        <f t="shared" si="30"/>
        <v>177</v>
      </c>
      <c r="AB84" s="731">
        <f t="shared" si="31"/>
        <v>4.415254237288136</v>
      </c>
      <c r="AC84" s="736">
        <v>1563</v>
      </c>
      <c r="AD84" s="733">
        <f t="shared" si="32"/>
        <v>0</v>
      </c>
      <c r="AE84" s="747">
        <f t="shared" si="20"/>
        <v>1288.5</v>
      </c>
      <c r="AF84" s="748">
        <f t="shared" si="21"/>
        <v>217</v>
      </c>
      <c r="AG84" s="764">
        <v>2851.5</v>
      </c>
      <c r="AH84" s="765">
        <v>571</v>
      </c>
      <c r="AI84" s="751">
        <f t="shared" si="22"/>
        <v>0.6199649737302977</v>
      </c>
      <c r="AJ84" s="751">
        <f t="shared" si="23"/>
        <v>0.38003502626970226</v>
      </c>
      <c r="AK84" s="748">
        <f t="shared" si="24"/>
        <v>285.5</v>
      </c>
      <c r="AL84" s="752">
        <f t="shared" si="25"/>
        <v>4.993870402802101</v>
      </c>
      <c r="AM84" s="753">
        <v>4669.5</v>
      </c>
      <c r="AN84" s="751">
        <f t="shared" si="33"/>
        <v>-0.3893350465788628</v>
      </c>
      <c r="AO84" s="497">
        <f>382290+386122+344313.5+244996+104138.75+43618.5+27632+12528+6812+832+1782+2257+1782+5477.5+2138.5+4669.5+970+2851.5</f>
        <v>1575210.75</v>
      </c>
      <c r="AP84" s="498">
        <f>34863+36137+32260+23896+12188+5940+2894+1417+1234+90+446+565+446+1293+535+1220+404+571</f>
        <v>156399</v>
      </c>
      <c r="AQ84" s="768">
        <f t="shared" si="27"/>
        <v>10.071744384554888</v>
      </c>
      <c r="AR84" s="316">
        <v>40949</v>
      </c>
      <c r="AS84" s="509" t="s">
        <v>515</v>
      </c>
      <c r="AT84" s="60"/>
    </row>
    <row r="85" spans="1:46" s="10" customFormat="1" ht="15.75" hidden="1">
      <c r="A85" s="368" t="s">
        <v>567</v>
      </c>
      <c r="B85" s="349"/>
      <c r="C85" s="349"/>
      <c r="D85" s="349"/>
      <c r="E85" s="349"/>
      <c r="F85" s="349"/>
      <c r="G85" s="349"/>
      <c r="H85" s="350"/>
      <c r="I85" s="350"/>
      <c r="J85" s="213" t="s">
        <v>214</v>
      </c>
      <c r="K85" s="66" t="s">
        <v>216</v>
      </c>
      <c r="L85" s="64" t="s">
        <v>95</v>
      </c>
      <c r="M85" s="66" t="s">
        <v>215</v>
      </c>
      <c r="N85" s="225">
        <v>40907</v>
      </c>
      <c r="O85" s="64" t="s">
        <v>10</v>
      </c>
      <c r="P85" s="284">
        <v>64</v>
      </c>
      <c r="Q85" s="277">
        <v>3</v>
      </c>
      <c r="R85" s="277">
        <v>7</v>
      </c>
      <c r="S85" s="737">
        <v>260</v>
      </c>
      <c r="T85" s="738">
        <v>33</v>
      </c>
      <c r="U85" s="737">
        <v>674</v>
      </c>
      <c r="V85" s="738">
        <v>86</v>
      </c>
      <c r="W85" s="737">
        <v>619</v>
      </c>
      <c r="X85" s="738">
        <v>77</v>
      </c>
      <c r="Y85" s="846">
        <f t="shared" si="28"/>
        <v>1553</v>
      </c>
      <c r="Z85" s="847">
        <f t="shared" si="29"/>
        <v>196</v>
      </c>
      <c r="AA85" s="730">
        <f t="shared" si="30"/>
        <v>65.33333333333333</v>
      </c>
      <c r="AB85" s="731">
        <f t="shared" si="31"/>
        <v>7.923469387755102</v>
      </c>
      <c r="AC85" s="736">
        <v>1553</v>
      </c>
      <c r="AD85" s="733">
        <f t="shared" si="32"/>
        <v>0</v>
      </c>
      <c r="AE85" s="747">
        <f t="shared" si="20"/>
        <v>2025</v>
      </c>
      <c r="AF85" s="748">
        <f t="shared" si="21"/>
        <v>269</v>
      </c>
      <c r="AG85" s="762">
        <v>3578</v>
      </c>
      <c r="AH85" s="763">
        <v>465</v>
      </c>
      <c r="AI85" s="751">
        <f t="shared" si="22"/>
        <v>0.421505376344086</v>
      </c>
      <c r="AJ85" s="751">
        <f t="shared" si="23"/>
        <v>0.578494623655914</v>
      </c>
      <c r="AK85" s="748">
        <f t="shared" si="24"/>
        <v>155</v>
      </c>
      <c r="AL85" s="752">
        <f t="shared" si="25"/>
        <v>7.694623655913978</v>
      </c>
      <c r="AM85" s="753">
        <v>762</v>
      </c>
      <c r="AN85" s="751">
        <f t="shared" si="33"/>
        <v>3.695538057742782</v>
      </c>
      <c r="AO85" s="774">
        <v>681274</v>
      </c>
      <c r="AP85" s="775">
        <v>60533</v>
      </c>
      <c r="AQ85" s="768">
        <f t="shared" si="27"/>
        <v>11.254588406323823</v>
      </c>
      <c r="AR85" s="316">
        <v>40949</v>
      </c>
      <c r="AS85" s="509" t="s">
        <v>510</v>
      </c>
      <c r="AT85" s="60"/>
    </row>
    <row r="86" spans="1:46" s="10" customFormat="1" ht="15.75" hidden="1">
      <c r="A86" s="368" t="s">
        <v>568</v>
      </c>
      <c r="B86" s="348"/>
      <c r="C86" s="352" t="s">
        <v>261</v>
      </c>
      <c r="D86" s="349"/>
      <c r="E86" s="349"/>
      <c r="F86" s="349"/>
      <c r="G86" s="349"/>
      <c r="H86" s="350"/>
      <c r="I86" s="351"/>
      <c r="J86" s="211" t="s">
        <v>399</v>
      </c>
      <c r="K86" s="63" t="s">
        <v>405</v>
      </c>
      <c r="L86" s="63" t="s">
        <v>89</v>
      </c>
      <c r="M86" s="63" t="s">
        <v>399</v>
      </c>
      <c r="N86" s="225">
        <v>40886</v>
      </c>
      <c r="O86" s="64" t="s">
        <v>68</v>
      </c>
      <c r="P86" s="263">
        <v>9</v>
      </c>
      <c r="Q86" s="264">
        <v>4</v>
      </c>
      <c r="R86" s="264">
        <v>6</v>
      </c>
      <c r="S86" s="732">
        <v>314</v>
      </c>
      <c r="T86" s="743">
        <v>30</v>
      </c>
      <c r="U86" s="732">
        <v>532.5</v>
      </c>
      <c r="V86" s="743">
        <v>54</v>
      </c>
      <c r="W86" s="732">
        <v>613</v>
      </c>
      <c r="X86" s="743">
        <v>61</v>
      </c>
      <c r="Y86" s="846">
        <f t="shared" si="28"/>
        <v>1459.5</v>
      </c>
      <c r="Z86" s="847">
        <f t="shared" si="29"/>
        <v>145</v>
      </c>
      <c r="AA86" s="730">
        <f t="shared" si="30"/>
        <v>36.25</v>
      </c>
      <c r="AB86" s="731">
        <f t="shared" si="31"/>
        <v>10.065517241379311</v>
      </c>
      <c r="AC86" s="736">
        <v>1459.5</v>
      </c>
      <c r="AD86" s="733">
        <f t="shared" si="32"/>
        <v>0</v>
      </c>
      <c r="AE86" s="747">
        <f t="shared" si="20"/>
        <v>2655.8999999999996</v>
      </c>
      <c r="AF86" s="748">
        <f t="shared" si="21"/>
        <v>418</v>
      </c>
      <c r="AG86" s="764">
        <v>4115.4</v>
      </c>
      <c r="AH86" s="765">
        <v>563</v>
      </c>
      <c r="AI86" s="751">
        <f t="shared" si="22"/>
        <v>0.25754884547069273</v>
      </c>
      <c r="AJ86" s="751">
        <f t="shared" si="23"/>
        <v>0.7424511545293073</v>
      </c>
      <c r="AK86" s="748">
        <f t="shared" si="24"/>
        <v>140.75</v>
      </c>
      <c r="AL86" s="752">
        <f t="shared" si="25"/>
        <v>7.3097690941385425</v>
      </c>
      <c r="AM86" s="753">
        <v>1782</v>
      </c>
      <c r="AN86" s="751">
        <f t="shared" si="33"/>
        <v>1.3094276094276092</v>
      </c>
      <c r="AO86" s="497">
        <f>55869.5+42730+1422+522+1782+4115.4</f>
        <v>106440.9</v>
      </c>
      <c r="AP86" s="498">
        <f>3902+3837+240+87+356+563</f>
        <v>8985</v>
      </c>
      <c r="AQ86" s="768">
        <f t="shared" si="27"/>
        <v>11.846510851419032</v>
      </c>
      <c r="AR86" s="316">
        <v>40949</v>
      </c>
      <c r="AS86" s="509" t="s">
        <v>503</v>
      </c>
      <c r="AT86" s="60"/>
    </row>
    <row r="87" spans="1:46" s="10" customFormat="1" ht="15.75" hidden="1">
      <c r="A87" s="368" t="s">
        <v>569</v>
      </c>
      <c r="B87" s="349"/>
      <c r="C87" s="352" t="s">
        <v>261</v>
      </c>
      <c r="D87" s="349"/>
      <c r="E87" s="349"/>
      <c r="F87" s="349"/>
      <c r="G87" s="349"/>
      <c r="H87" s="350"/>
      <c r="I87" s="350"/>
      <c r="J87" s="209" t="s">
        <v>108</v>
      </c>
      <c r="K87" s="61" t="s">
        <v>125</v>
      </c>
      <c r="L87" s="68" t="s">
        <v>124</v>
      </c>
      <c r="M87" s="68" t="s">
        <v>109</v>
      </c>
      <c r="N87" s="225">
        <v>40879</v>
      </c>
      <c r="O87" s="64" t="s">
        <v>12</v>
      </c>
      <c r="P87" s="263">
        <v>38</v>
      </c>
      <c r="Q87" s="264">
        <v>1</v>
      </c>
      <c r="R87" s="264">
        <v>11</v>
      </c>
      <c r="S87" s="741">
        <v>67</v>
      </c>
      <c r="T87" s="742">
        <v>8</v>
      </c>
      <c r="U87" s="741">
        <v>717</v>
      </c>
      <c r="V87" s="742">
        <v>96</v>
      </c>
      <c r="W87" s="741">
        <v>642</v>
      </c>
      <c r="X87" s="742">
        <v>84</v>
      </c>
      <c r="Y87" s="846">
        <f t="shared" si="28"/>
        <v>1426</v>
      </c>
      <c r="Z87" s="847">
        <f t="shared" si="29"/>
        <v>188</v>
      </c>
      <c r="AA87" s="730">
        <f t="shared" si="30"/>
        <v>188</v>
      </c>
      <c r="AB87" s="731">
        <f t="shared" si="31"/>
        <v>7.585106382978723</v>
      </c>
      <c r="AC87" s="736">
        <v>1426</v>
      </c>
      <c r="AD87" s="733">
        <f t="shared" si="32"/>
        <v>0</v>
      </c>
      <c r="AE87" s="747">
        <f aca="true" t="shared" si="34" ref="AE87:AE118">AG87-Y87</f>
        <v>1083</v>
      </c>
      <c r="AF87" s="748">
        <f aca="true" t="shared" si="35" ref="AF87:AF118">AH87-Z87</f>
        <v>144</v>
      </c>
      <c r="AG87" s="756">
        <v>2509</v>
      </c>
      <c r="AH87" s="757">
        <v>332</v>
      </c>
      <c r="AI87" s="751">
        <f aca="true" t="shared" si="36" ref="AI87:AI118">Z87*1/AH87</f>
        <v>0.5662650602409639</v>
      </c>
      <c r="AJ87" s="751">
        <f aca="true" t="shared" si="37" ref="AJ87:AJ118">AF87*1/AH87</f>
        <v>0.43373493975903615</v>
      </c>
      <c r="AK87" s="748">
        <f aca="true" t="shared" si="38" ref="AK87:AK118">AH87/Q87</f>
        <v>332</v>
      </c>
      <c r="AL87" s="752">
        <f aca="true" t="shared" si="39" ref="AL87:AL118">AG87/AH87</f>
        <v>7.557228915662651</v>
      </c>
      <c r="AM87" s="758">
        <v>2304</v>
      </c>
      <c r="AN87" s="751">
        <f t="shared" si="33"/>
        <v>0.08897569444444445</v>
      </c>
      <c r="AO87" s="268">
        <v>495830</v>
      </c>
      <c r="AP87" s="269">
        <v>47001</v>
      </c>
      <c r="AQ87" s="768">
        <f t="shared" si="27"/>
        <v>10.549350013829493</v>
      </c>
      <c r="AR87" s="316">
        <v>40949</v>
      </c>
      <c r="AS87" s="509" t="s">
        <v>407</v>
      </c>
      <c r="AT87" s="60"/>
    </row>
    <row r="88" spans="1:46" s="10" customFormat="1" ht="15.75" hidden="1">
      <c r="A88" s="368" t="s">
        <v>570</v>
      </c>
      <c r="B88" s="348"/>
      <c r="C88" s="352" t="s">
        <v>261</v>
      </c>
      <c r="D88" s="349"/>
      <c r="E88" s="349"/>
      <c r="F88" s="349"/>
      <c r="G88" s="349"/>
      <c r="H88" s="350"/>
      <c r="I88" s="350"/>
      <c r="J88" s="211" t="s">
        <v>271</v>
      </c>
      <c r="K88" s="61" t="s">
        <v>290</v>
      </c>
      <c r="L88" s="65" t="s">
        <v>79</v>
      </c>
      <c r="M88" s="63" t="s">
        <v>287</v>
      </c>
      <c r="N88" s="225">
        <v>40823</v>
      </c>
      <c r="O88" s="64" t="s">
        <v>68</v>
      </c>
      <c r="P88" s="263">
        <v>10</v>
      </c>
      <c r="Q88" s="264">
        <v>2</v>
      </c>
      <c r="R88" s="264">
        <v>13</v>
      </c>
      <c r="S88" s="732">
        <v>406</v>
      </c>
      <c r="T88" s="743">
        <v>62</v>
      </c>
      <c r="U88" s="732">
        <v>343</v>
      </c>
      <c r="V88" s="743">
        <v>47</v>
      </c>
      <c r="W88" s="732">
        <v>350</v>
      </c>
      <c r="X88" s="743">
        <v>49</v>
      </c>
      <c r="Y88" s="846">
        <f t="shared" si="28"/>
        <v>1099</v>
      </c>
      <c r="Z88" s="847">
        <f t="shared" si="29"/>
        <v>158</v>
      </c>
      <c r="AA88" s="730">
        <f t="shared" si="30"/>
        <v>79</v>
      </c>
      <c r="AB88" s="731">
        <f t="shared" si="31"/>
        <v>6.955696202531645</v>
      </c>
      <c r="AC88" s="736">
        <v>1099</v>
      </c>
      <c r="AD88" s="733">
        <f t="shared" si="32"/>
        <v>0</v>
      </c>
      <c r="AE88" s="747">
        <f t="shared" si="34"/>
        <v>-11.5</v>
      </c>
      <c r="AF88" s="748">
        <f t="shared" si="35"/>
        <v>-5</v>
      </c>
      <c r="AG88" s="764">
        <v>1087.5</v>
      </c>
      <c r="AH88" s="765">
        <v>153</v>
      </c>
      <c r="AI88" s="751">
        <f t="shared" si="36"/>
        <v>1.0326797385620916</v>
      </c>
      <c r="AJ88" s="751">
        <f t="shared" si="37"/>
        <v>-0.032679738562091505</v>
      </c>
      <c r="AK88" s="748">
        <f t="shared" si="38"/>
        <v>76.5</v>
      </c>
      <c r="AL88" s="752">
        <f t="shared" si="39"/>
        <v>7.107843137254902</v>
      </c>
      <c r="AM88" s="753">
        <v>3784</v>
      </c>
      <c r="AN88" s="751">
        <f t="shared" si="33"/>
        <v>-0.7126057082452432</v>
      </c>
      <c r="AO88" s="497">
        <f>31458.5+18316.5+9973.5+2181+7429+3551+2891+512+313+372+806+3784+1705+1087.5</f>
        <v>84380</v>
      </c>
      <c r="AP88" s="498">
        <f>2922+2132+1224+343+1097+635+770+85+39+50+137+612+248+153</f>
        <v>10447</v>
      </c>
      <c r="AQ88" s="768">
        <f t="shared" si="27"/>
        <v>8.076959892792189</v>
      </c>
      <c r="AR88" s="316">
        <v>40949</v>
      </c>
      <c r="AS88" s="509" t="s">
        <v>371</v>
      </c>
      <c r="AT88" s="60"/>
    </row>
    <row r="89" spans="1:46" s="10" customFormat="1" ht="15.75" hidden="1">
      <c r="A89" s="368" t="s">
        <v>571</v>
      </c>
      <c r="B89" s="348"/>
      <c r="C89" s="352" t="s">
        <v>261</v>
      </c>
      <c r="D89" s="355"/>
      <c r="E89" s="356">
        <v>3</v>
      </c>
      <c r="F89" s="355"/>
      <c r="G89" s="349"/>
      <c r="H89" s="351"/>
      <c r="I89" s="350"/>
      <c r="J89" s="214" t="s">
        <v>72</v>
      </c>
      <c r="K89" s="61" t="s">
        <v>83</v>
      </c>
      <c r="L89" s="61" t="s">
        <v>189</v>
      </c>
      <c r="M89" s="61" t="s">
        <v>182</v>
      </c>
      <c r="N89" s="225">
        <v>40858</v>
      </c>
      <c r="O89" s="64" t="s">
        <v>8</v>
      </c>
      <c r="P89" s="263">
        <v>132</v>
      </c>
      <c r="Q89" s="273">
        <v>1</v>
      </c>
      <c r="R89" s="273">
        <v>14</v>
      </c>
      <c r="S89" s="734">
        <v>428</v>
      </c>
      <c r="T89" s="735">
        <v>134</v>
      </c>
      <c r="U89" s="734">
        <v>328</v>
      </c>
      <c r="V89" s="735">
        <v>125</v>
      </c>
      <c r="W89" s="734">
        <v>266</v>
      </c>
      <c r="X89" s="735">
        <v>96</v>
      </c>
      <c r="Y89" s="846">
        <f t="shared" si="28"/>
        <v>1022</v>
      </c>
      <c r="Z89" s="847">
        <f t="shared" si="29"/>
        <v>355</v>
      </c>
      <c r="AA89" s="730">
        <f t="shared" si="30"/>
        <v>355</v>
      </c>
      <c r="AB89" s="731">
        <f t="shared" si="31"/>
        <v>2.87887323943662</v>
      </c>
      <c r="AC89" s="736">
        <v>1022</v>
      </c>
      <c r="AD89" s="733">
        <f t="shared" si="32"/>
        <v>0</v>
      </c>
      <c r="AE89" s="747">
        <f t="shared" si="34"/>
        <v>415</v>
      </c>
      <c r="AF89" s="748">
        <f t="shared" si="35"/>
        <v>150</v>
      </c>
      <c r="AG89" s="762">
        <v>1437</v>
      </c>
      <c r="AH89" s="763">
        <v>505</v>
      </c>
      <c r="AI89" s="751">
        <f t="shared" si="36"/>
        <v>0.7029702970297029</v>
      </c>
      <c r="AJ89" s="751">
        <f t="shared" si="37"/>
        <v>0.297029702970297</v>
      </c>
      <c r="AK89" s="748">
        <f t="shared" si="38"/>
        <v>505</v>
      </c>
      <c r="AL89" s="752">
        <f t="shared" si="39"/>
        <v>2.8455445544554454</v>
      </c>
      <c r="AM89" s="758">
        <v>617</v>
      </c>
      <c r="AN89" s="751">
        <f t="shared" si="33"/>
        <v>1.3290113452188006</v>
      </c>
      <c r="AO89" s="774">
        <v>6014227</v>
      </c>
      <c r="AP89" s="775">
        <v>541312</v>
      </c>
      <c r="AQ89" s="768">
        <f t="shared" si="27"/>
        <v>11.110463097067864</v>
      </c>
      <c r="AR89" s="316">
        <v>40949</v>
      </c>
      <c r="AS89" s="509" t="s">
        <v>529</v>
      </c>
      <c r="AT89" s="60"/>
    </row>
    <row r="90" spans="1:46" s="10" customFormat="1" ht="15.75" hidden="1">
      <c r="A90" s="368" t="s">
        <v>572</v>
      </c>
      <c r="B90" s="348"/>
      <c r="C90" s="352" t="s">
        <v>261</v>
      </c>
      <c r="D90" s="349"/>
      <c r="E90" s="349"/>
      <c r="F90" s="349"/>
      <c r="G90" s="349"/>
      <c r="H90" s="350"/>
      <c r="I90" s="350"/>
      <c r="J90" s="215" t="s">
        <v>159</v>
      </c>
      <c r="K90" s="64" t="s">
        <v>164</v>
      </c>
      <c r="L90" s="64" t="s">
        <v>79</v>
      </c>
      <c r="M90" s="64" t="s">
        <v>165</v>
      </c>
      <c r="N90" s="226">
        <v>40886</v>
      </c>
      <c r="O90" s="64" t="s">
        <v>13</v>
      </c>
      <c r="P90" s="263">
        <v>3</v>
      </c>
      <c r="Q90" s="264">
        <v>2</v>
      </c>
      <c r="R90" s="264">
        <v>9</v>
      </c>
      <c r="S90" s="728">
        <v>119.5</v>
      </c>
      <c r="T90" s="729">
        <v>17</v>
      </c>
      <c r="U90" s="728">
        <v>280</v>
      </c>
      <c r="V90" s="729">
        <v>48</v>
      </c>
      <c r="W90" s="728">
        <v>397.5</v>
      </c>
      <c r="X90" s="729">
        <v>65</v>
      </c>
      <c r="Y90" s="846">
        <f t="shared" si="28"/>
        <v>797</v>
      </c>
      <c r="Z90" s="847">
        <f t="shared" si="29"/>
        <v>130</v>
      </c>
      <c r="AA90" s="730">
        <f t="shared" si="30"/>
        <v>65</v>
      </c>
      <c r="AB90" s="731">
        <f t="shared" si="31"/>
        <v>6.130769230769231</v>
      </c>
      <c r="AC90" s="736">
        <v>797</v>
      </c>
      <c r="AD90" s="733">
        <f t="shared" si="32"/>
        <v>0</v>
      </c>
      <c r="AE90" s="747">
        <f t="shared" si="34"/>
        <v>1330</v>
      </c>
      <c r="AF90" s="748">
        <f t="shared" si="35"/>
        <v>247</v>
      </c>
      <c r="AG90" s="756">
        <v>2127</v>
      </c>
      <c r="AH90" s="757">
        <v>377</v>
      </c>
      <c r="AI90" s="751">
        <f t="shared" si="36"/>
        <v>0.3448275862068966</v>
      </c>
      <c r="AJ90" s="751">
        <f t="shared" si="37"/>
        <v>0.6551724137931034</v>
      </c>
      <c r="AK90" s="748">
        <f t="shared" si="38"/>
        <v>188.5</v>
      </c>
      <c r="AL90" s="752">
        <f t="shared" si="39"/>
        <v>5.641909814323608</v>
      </c>
      <c r="AM90" s="758">
        <v>1223</v>
      </c>
      <c r="AN90" s="751">
        <f t="shared" si="33"/>
        <v>0.7391659852820932</v>
      </c>
      <c r="AO90" s="268">
        <v>21965</v>
      </c>
      <c r="AP90" s="269">
        <v>3214</v>
      </c>
      <c r="AQ90" s="768">
        <f t="shared" si="27"/>
        <v>6.834163036714375</v>
      </c>
      <c r="AR90" s="316">
        <v>40949</v>
      </c>
      <c r="AS90" s="509" t="s">
        <v>526</v>
      </c>
      <c r="AT90" s="60"/>
    </row>
    <row r="91" spans="1:46" s="10" customFormat="1" ht="15.75" hidden="1">
      <c r="A91" s="368" t="s">
        <v>573</v>
      </c>
      <c r="B91" s="348"/>
      <c r="C91" s="352" t="s">
        <v>261</v>
      </c>
      <c r="D91" s="349"/>
      <c r="E91" s="349"/>
      <c r="F91" s="349"/>
      <c r="G91" s="349"/>
      <c r="H91" s="350"/>
      <c r="I91" s="353" t="s">
        <v>54</v>
      </c>
      <c r="J91" s="213" t="s">
        <v>148</v>
      </c>
      <c r="K91" s="64" t="s">
        <v>112</v>
      </c>
      <c r="L91" s="64"/>
      <c r="M91" s="64" t="s">
        <v>148</v>
      </c>
      <c r="N91" s="225">
        <v>40900</v>
      </c>
      <c r="O91" s="64" t="s">
        <v>52</v>
      </c>
      <c r="P91" s="284">
        <v>14</v>
      </c>
      <c r="Q91" s="264">
        <v>1</v>
      </c>
      <c r="R91" s="264">
        <v>7</v>
      </c>
      <c r="S91" s="728">
        <v>28</v>
      </c>
      <c r="T91" s="729">
        <v>4</v>
      </c>
      <c r="U91" s="728">
        <v>301</v>
      </c>
      <c r="V91" s="729">
        <v>43</v>
      </c>
      <c r="W91" s="728">
        <v>238</v>
      </c>
      <c r="X91" s="729">
        <v>34</v>
      </c>
      <c r="Y91" s="846">
        <f t="shared" si="28"/>
        <v>567</v>
      </c>
      <c r="Z91" s="847">
        <f t="shared" si="29"/>
        <v>81</v>
      </c>
      <c r="AA91" s="730">
        <f t="shared" si="30"/>
        <v>81</v>
      </c>
      <c r="AB91" s="731">
        <f t="shared" si="31"/>
        <v>7</v>
      </c>
      <c r="AC91" s="736">
        <v>567</v>
      </c>
      <c r="AD91" s="733">
        <f t="shared" si="32"/>
        <v>0</v>
      </c>
      <c r="AE91" s="747">
        <f t="shared" si="34"/>
        <v>538</v>
      </c>
      <c r="AF91" s="748">
        <f t="shared" si="35"/>
        <v>78</v>
      </c>
      <c r="AG91" s="756">
        <v>1105</v>
      </c>
      <c r="AH91" s="757">
        <v>159</v>
      </c>
      <c r="AI91" s="751">
        <f t="shared" si="36"/>
        <v>0.5094339622641509</v>
      </c>
      <c r="AJ91" s="751">
        <f t="shared" si="37"/>
        <v>0.49056603773584906</v>
      </c>
      <c r="AK91" s="748">
        <f t="shared" si="38"/>
        <v>159</v>
      </c>
      <c r="AL91" s="752">
        <f t="shared" si="39"/>
        <v>6.949685534591195</v>
      </c>
      <c r="AM91" s="758">
        <v>2629</v>
      </c>
      <c r="AN91" s="751">
        <f t="shared" si="33"/>
        <v>-0.5796880943324458</v>
      </c>
      <c r="AO91" s="268">
        <f>43848.5+19458.5+4777+1091+5447+2629+1105</f>
        <v>78356</v>
      </c>
      <c r="AP91" s="269">
        <f>3764+1850+439+142+752+413+159</f>
        <v>7519</v>
      </c>
      <c r="AQ91" s="768">
        <f t="shared" si="27"/>
        <v>10.421066631200958</v>
      </c>
      <c r="AR91" s="316">
        <v>40949</v>
      </c>
      <c r="AS91" s="509" t="s">
        <v>536</v>
      </c>
      <c r="AT91" s="60"/>
    </row>
    <row r="92" spans="1:46" s="10" customFormat="1" ht="15.75" hidden="1">
      <c r="A92" s="368" t="s">
        <v>574</v>
      </c>
      <c r="B92" s="348"/>
      <c r="C92" s="352" t="s">
        <v>261</v>
      </c>
      <c r="D92" s="369"/>
      <c r="E92" s="369"/>
      <c r="F92" s="349"/>
      <c r="G92" s="369"/>
      <c r="H92" s="496"/>
      <c r="I92" s="353" t="s">
        <v>54</v>
      </c>
      <c r="J92" s="211" t="s">
        <v>107</v>
      </c>
      <c r="K92" s="63" t="s">
        <v>123</v>
      </c>
      <c r="L92" s="65"/>
      <c r="M92" s="63" t="s">
        <v>107</v>
      </c>
      <c r="N92" s="225">
        <v>40879</v>
      </c>
      <c r="O92" s="64" t="s">
        <v>68</v>
      </c>
      <c r="P92" s="263">
        <v>202</v>
      </c>
      <c r="Q92" s="264">
        <v>3</v>
      </c>
      <c r="R92" s="264">
        <v>11</v>
      </c>
      <c r="S92" s="732">
        <v>103</v>
      </c>
      <c r="T92" s="743">
        <v>17</v>
      </c>
      <c r="U92" s="732">
        <v>177</v>
      </c>
      <c r="V92" s="743">
        <v>29</v>
      </c>
      <c r="W92" s="732">
        <v>218</v>
      </c>
      <c r="X92" s="743">
        <v>36</v>
      </c>
      <c r="Y92" s="846">
        <f t="shared" si="28"/>
        <v>498</v>
      </c>
      <c r="Z92" s="847">
        <f t="shared" si="29"/>
        <v>82</v>
      </c>
      <c r="AA92" s="730">
        <f t="shared" si="30"/>
        <v>27.333333333333332</v>
      </c>
      <c r="AB92" s="731">
        <f t="shared" si="31"/>
        <v>6.073170731707317</v>
      </c>
      <c r="AC92" s="736">
        <v>498</v>
      </c>
      <c r="AD92" s="733">
        <f t="shared" si="32"/>
        <v>0</v>
      </c>
      <c r="AE92" s="747">
        <f t="shared" si="34"/>
        <v>1262.5</v>
      </c>
      <c r="AF92" s="748">
        <f t="shared" si="35"/>
        <v>240</v>
      </c>
      <c r="AG92" s="764">
        <v>1760.5</v>
      </c>
      <c r="AH92" s="765">
        <v>322</v>
      </c>
      <c r="AI92" s="751">
        <f t="shared" si="36"/>
        <v>0.2546583850931677</v>
      </c>
      <c r="AJ92" s="751">
        <f t="shared" si="37"/>
        <v>0.7453416149068323</v>
      </c>
      <c r="AK92" s="748">
        <f t="shared" si="38"/>
        <v>107.33333333333333</v>
      </c>
      <c r="AL92" s="752">
        <f t="shared" si="39"/>
        <v>5.467391304347826</v>
      </c>
      <c r="AM92" s="753">
        <v>5204.5</v>
      </c>
      <c r="AN92" s="751">
        <f t="shared" si="33"/>
        <v>-0.6617350369872226</v>
      </c>
      <c r="AO92" s="497">
        <f>1080241.5+1088121+871543+502064+300294.5+131358.5+96969.5+68985+9253.5+5204.5+1760.5</f>
        <v>4155795.5</v>
      </c>
      <c r="AP92" s="498">
        <f>121812+123965+100674+61096+39726+19116+14898+10338+1416+922+322</f>
        <v>494285</v>
      </c>
      <c r="AQ92" s="768">
        <f t="shared" si="27"/>
        <v>8.407690907067785</v>
      </c>
      <c r="AR92" s="316">
        <v>40949</v>
      </c>
      <c r="AS92" s="509" t="s">
        <v>528</v>
      </c>
      <c r="AT92" s="60"/>
    </row>
    <row r="93" spans="1:46" s="10" customFormat="1" ht="15.75" hidden="1">
      <c r="A93" s="368" t="s">
        <v>575</v>
      </c>
      <c r="B93" s="349"/>
      <c r="C93" s="352" t="s">
        <v>261</v>
      </c>
      <c r="D93" s="359"/>
      <c r="E93" s="359"/>
      <c r="F93" s="349"/>
      <c r="G93" s="344"/>
      <c r="H93" s="350"/>
      <c r="I93" s="350"/>
      <c r="J93" s="207" t="s">
        <v>291</v>
      </c>
      <c r="K93" s="66" t="s">
        <v>296</v>
      </c>
      <c r="L93" s="64" t="s">
        <v>260</v>
      </c>
      <c r="M93" s="66" t="s">
        <v>295</v>
      </c>
      <c r="N93" s="225">
        <v>40830</v>
      </c>
      <c r="O93" s="64" t="s">
        <v>10</v>
      </c>
      <c r="P93" s="284">
        <v>62</v>
      </c>
      <c r="Q93" s="277">
        <v>1</v>
      </c>
      <c r="R93" s="277">
        <v>14</v>
      </c>
      <c r="S93" s="737">
        <v>140</v>
      </c>
      <c r="T93" s="738">
        <v>20</v>
      </c>
      <c r="U93" s="737">
        <v>126</v>
      </c>
      <c r="V93" s="738">
        <v>18</v>
      </c>
      <c r="W93" s="737">
        <v>147</v>
      </c>
      <c r="X93" s="738">
        <v>21</v>
      </c>
      <c r="Y93" s="846">
        <f t="shared" si="28"/>
        <v>413</v>
      </c>
      <c r="Z93" s="847">
        <f t="shared" si="29"/>
        <v>59</v>
      </c>
      <c r="AA93" s="730">
        <f t="shared" si="30"/>
        <v>59</v>
      </c>
      <c r="AB93" s="731">
        <f t="shared" si="31"/>
        <v>7</v>
      </c>
      <c r="AC93" s="736">
        <v>413</v>
      </c>
      <c r="AD93" s="733">
        <f t="shared" si="32"/>
        <v>0</v>
      </c>
      <c r="AE93" s="747">
        <f t="shared" si="34"/>
        <v>752</v>
      </c>
      <c r="AF93" s="748">
        <f t="shared" si="35"/>
        <v>108</v>
      </c>
      <c r="AG93" s="762">
        <v>1165</v>
      </c>
      <c r="AH93" s="763">
        <v>167</v>
      </c>
      <c r="AI93" s="751">
        <f t="shared" si="36"/>
        <v>0.3532934131736527</v>
      </c>
      <c r="AJ93" s="751">
        <f t="shared" si="37"/>
        <v>0.6467065868263473</v>
      </c>
      <c r="AK93" s="748">
        <f t="shared" si="38"/>
        <v>167</v>
      </c>
      <c r="AL93" s="752">
        <f t="shared" si="39"/>
        <v>6.976047904191617</v>
      </c>
      <c r="AM93" s="753">
        <v>612</v>
      </c>
      <c r="AN93" s="751">
        <f t="shared" si="33"/>
        <v>0.9035947712418301</v>
      </c>
      <c r="AO93" s="774">
        <v>1597479</v>
      </c>
      <c r="AP93" s="775">
        <v>150144</v>
      </c>
      <c r="AQ93" s="768">
        <f t="shared" si="27"/>
        <v>10.639645939897699</v>
      </c>
      <c r="AR93" s="316">
        <v>40949</v>
      </c>
      <c r="AS93" s="509" t="s">
        <v>535</v>
      </c>
      <c r="AT93" s="60"/>
    </row>
    <row r="94" spans="1:46" s="10" customFormat="1" ht="15.75" hidden="1">
      <c r="A94" s="368" t="s">
        <v>576</v>
      </c>
      <c r="B94" s="348"/>
      <c r="C94" s="352" t="s">
        <v>261</v>
      </c>
      <c r="D94" s="349"/>
      <c r="E94" s="349"/>
      <c r="F94" s="349"/>
      <c r="G94" s="349"/>
      <c r="H94" s="350"/>
      <c r="I94" s="350"/>
      <c r="J94" s="207" t="s">
        <v>149</v>
      </c>
      <c r="K94" s="61" t="s">
        <v>184</v>
      </c>
      <c r="L94" s="66" t="s">
        <v>189</v>
      </c>
      <c r="M94" s="66" t="s">
        <v>150</v>
      </c>
      <c r="N94" s="226">
        <v>40830</v>
      </c>
      <c r="O94" s="64" t="s">
        <v>8</v>
      </c>
      <c r="P94" s="272">
        <v>60</v>
      </c>
      <c r="Q94" s="273">
        <v>1</v>
      </c>
      <c r="R94" s="273">
        <v>13</v>
      </c>
      <c r="S94" s="734">
        <v>107</v>
      </c>
      <c r="T94" s="735">
        <v>17</v>
      </c>
      <c r="U94" s="734">
        <v>80</v>
      </c>
      <c r="V94" s="735">
        <v>13</v>
      </c>
      <c r="W94" s="734">
        <v>164</v>
      </c>
      <c r="X94" s="735">
        <v>25</v>
      </c>
      <c r="Y94" s="846">
        <f t="shared" si="28"/>
        <v>351</v>
      </c>
      <c r="Z94" s="847">
        <f t="shared" si="29"/>
        <v>55</v>
      </c>
      <c r="AA94" s="730">
        <f t="shared" si="30"/>
        <v>55</v>
      </c>
      <c r="AB94" s="731">
        <f t="shared" si="31"/>
        <v>6.381818181818182</v>
      </c>
      <c r="AC94" s="746">
        <v>351</v>
      </c>
      <c r="AD94" s="733">
        <f t="shared" si="32"/>
        <v>0</v>
      </c>
      <c r="AE94" s="747">
        <f t="shared" si="34"/>
        <v>359</v>
      </c>
      <c r="AF94" s="748">
        <f t="shared" si="35"/>
        <v>59</v>
      </c>
      <c r="AG94" s="762">
        <v>710</v>
      </c>
      <c r="AH94" s="763">
        <v>114</v>
      </c>
      <c r="AI94" s="751">
        <f t="shared" si="36"/>
        <v>0.4824561403508772</v>
      </c>
      <c r="AJ94" s="751">
        <f t="shared" si="37"/>
        <v>0.5175438596491229</v>
      </c>
      <c r="AK94" s="748">
        <f t="shared" si="38"/>
        <v>114</v>
      </c>
      <c r="AL94" s="752">
        <f t="shared" si="39"/>
        <v>6.228070175438597</v>
      </c>
      <c r="AM94" s="753">
        <v>7574</v>
      </c>
      <c r="AN94" s="751">
        <f t="shared" si="33"/>
        <v>-0.9062582519144442</v>
      </c>
      <c r="AO94" s="774">
        <v>395335</v>
      </c>
      <c r="AP94" s="775">
        <v>41640</v>
      </c>
      <c r="AQ94" s="768">
        <f t="shared" si="27"/>
        <v>9.49411623439001</v>
      </c>
      <c r="AR94" s="316">
        <v>40949</v>
      </c>
      <c r="AS94" s="509" t="s">
        <v>574</v>
      </c>
      <c r="AT94" s="60"/>
    </row>
    <row r="95" spans="1:45" s="10" customFormat="1" ht="15.75" hidden="1">
      <c r="A95" s="368" t="s">
        <v>577</v>
      </c>
      <c r="B95" s="348"/>
      <c r="C95" s="352" t="s">
        <v>261</v>
      </c>
      <c r="D95" s="349"/>
      <c r="E95" s="349"/>
      <c r="F95" s="349"/>
      <c r="G95" s="349"/>
      <c r="H95" s="350"/>
      <c r="I95" s="353" t="s">
        <v>54</v>
      </c>
      <c r="J95" s="214" t="s">
        <v>304</v>
      </c>
      <c r="K95" s="61" t="s">
        <v>112</v>
      </c>
      <c r="L95" s="61"/>
      <c r="M95" s="65" t="s">
        <v>111</v>
      </c>
      <c r="N95" s="225">
        <v>40886</v>
      </c>
      <c r="O95" s="64" t="s">
        <v>52</v>
      </c>
      <c r="P95" s="287">
        <v>8</v>
      </c>
      <c r="Q95" s="264">
        <v>1</v>
      </c>
      <c r="R95" s="264">
        <v>6</v>
      </c>
      <c r="S95" s="728">
        <v>34</v>
      </c>
      <c r="T95" s="729">
        <v>17</v>
      </c>
      <c r="U95" s="728">
        <v>180</v>
      </c>
      <c r="V95" s="729">
        <v>80</v>
      </c>
      <c r="W95" s="728">
        <v>102</v>
      </c>
      <c r="X95" s="729">
        <v>42</v>
      </c>
      <c r="Y95" s="846">
        <f t="shared" si="28"/>
        <v>316</v>
      </c>
      <c r="Z95" s="847">
        <f t="shared" si="29"/>
        <v>139</v>
      </c>
      <c r="AA95" s="730">
        <f t="shared" si="30"/>
        <v>139</v>
      </c>
      <c r="AB95" s="731">
        <f t="shared" si="31"/>
        <v>2.273381294964029</v>
      </c>
      <c r="AC95" s="736">
        <v>316</v>
      </c>
      <c r="AD95" s="733">
        <f t="shared" si="32"/>
        <v>0</v>
      </c>
      <c r="AE95" s="747">
        <f t="shared" si="34"/>
        <v>1466</v>
      </c>
      <c r="AF95" s="748">
        <f t="shared" si="35"/>
        <v>217</v>
      </c>
      <c r="AG95" s="756">
        <v>1782</v>
      </c>
      <c r="AH95" s="757">
        <v>356</v>
      </c>
      <c r="AI95" s="751">
        <f t="shared" si="36"/>
        <v>0.3904494382022472</v>
      </c>
      <c r="AJ95" s="751">
        <f t="shared" si="37"/>
        <v>0.6095505617977528</v>
      </c>
      <c r="AK95" s="748">
        <f t="shared" si="38"/>
        <v>356</v>
      </c>
      <c r="AL95" s="752">
        <f t="shared" si="39"/>
        <v>5.00561797752809</v>
      </c>
      <c r="AM95" s="759">
        <v>1920</v>
      </c>
      <c r="AN95" s="751">
        <f t="shared" si="33"/>
        <v>-0.071875</v>
      </c>
      <c r="AO95" s="268">
        <f>11392+5145+695+1862+1920+1782</f>
        <v>22796</v>
      </c>
      <c r="AP95" s="269">
        <f>1392+701+109+241+379+356</f>
        <v>3178</v>
      </c>
      <c r="AQ95" s="768">
        <f t="shared" si="27"/>
        <v>7.173064820641913</v>
      </c>
      <c r="AR95" s="316">
        <v>40949</v>
      </c>
      <c r="AS95" s="509" t="s">
        <v>527</v>
      </c>
    </row>
    <row r="96" spans="1:45" s="10" customFormat="1" ht="15.75" hidden="1">
      <c r="A96" s="368" t="s">
        <v>578</v>
      </c>
      <c r="B96" s="348"/>
      <c r="C96" s="352" t="s">
        <v>261</v>
      </c>
      <c r="D96" s="349"/>
      <c r="E96" s="349"/>
      <c r="F96" s="349"/>
      <c r="G96" s="349"/>
      <c r="H96" s="350"/>
      <c r="I96" s="353" t="s">
        <v>54</v>
      </c>
      <c r="J96" s="213" t="s">
        <v>77</v>
      </c>
      <c r="K96" s="64" t="s">
        <v>188</v>
      </c>
      <c r="L96" s="64"/>
      <c r="M96" s="64" t="s">
        <v>173</v>
      </c>
      <c r="N96" s="225">
        <v>40865</v>
      </c>
      <c r="O96" s="64" t="s">
        <v>52</v>
      </c>
      <c r="P96" s="284">
        <v>64</v>
      </c>
      <c r="Q96" s="277">
        <v>2</v>
      </c>
      <c r="R96" s="277">
        <v>10</v>
      </c>
      <c r="S96" s="737">
        <v>60</v>
      </c>
      <c r="T96" s="738">
        <v>8</v>
      </c>
      <c r="U96" s="737">
        <v>118</v>
      </c>
      <c r="V96" s="738">
        <v>16</v>
      </c>
      <c r="W96" s="737">
        <v>117</v>
      </c>
      <c r="X96" s="738">
        <v>16</v>
      </c>
      <c r="Y96" s="846">
        <f t="shared" si="28"/>
        <v>295</v>
      </c>
      <c r="Z96" s="847">
        <f t="shared" si="29"/>
        <v>40</v>
      </c>
      <c r="AA96" s="730">
        <f t="shared" si="30"/>
        <v>20</v>
      </c>
      <c r="AB96" s="731">
        <f t="shared" si="31"/>
        <v>7.375</v>
      </c>
      <c r="AC96" s="736">
        <v>295</v>
      </c>
      <c r="AD96" s="733">
        <f t="shared" si="32"/>
        <v>0</v>
      </c>
      <c r="AE96" s="747">
        <f t="shared" si="34"/>
        <v>3269</v>
      </c>
      <c r="AF96" s="748">
        <f t="shared" si="35"/>
        <v>672</v>
      </c>
      <c r="AG96" s="756">
        <v>3564</v>
      </c>
      <c r="AH96" s="757">
        <v>712</v>
      </c>
      <c r="AI96" s="751">
        <f t="shared" si="36"/>
        <v>0.056179775280898875</v>
      </c>
      <c r="AJ96" s="751">
        <f t="shared" si="37"/>
        <v>0.9438202247191011</v>
      </c>
      <c r="AK96" s="748">
        <f t="shared" si="38"/>
        <v>356</v>
      </c>
      <c r="AL96" s="752">
        <f t="shared" si="39"/>
        <v>5.00561797752809</v>
      </c>
      <c r="AM96" s="758">
        <v>195</v>
      </c>
      <c r="AN96" s="751">
        <f t="shared" si="33"/>
        <v>17.276923076923076</v>
      </c>
      <c r="AO96" s="268">
        <f>256046+137037.5+20115+5099+3542+3484.5+1302+1985+195+659+3564</f>
        <v>433029</v>
      </c>
      <c r="AP96" s="269">
        <f>25390+13650+2140+705+587+707+246+352+31+92+712</f>
        <v>44612</v>
      </c>
      <c r="AQ96" s="768">
        <f t="shared" si="27"/>
        <v>9.706558773424192</v>
      </c>
      <c r="AR96" s="316">
        <v>40949</v>
      </c>
      <c r="AS96" s="509" t="s">
        <v>512</v>
      </c>
    </row>
    <row r="97" spans="1:45" s="10" customFormat="1" ht="15.75" hidden="1">
      <c r="A97" s="368" t="s">
        <v>579</v>
      </c>
      <c r="B97" s="349"/>
      <c r="C97" s="352" t="s">
        <v>261</v>
      </c>
      <c r="D97" s="349"/>
      <c r="E97" s="349"/>
      <c r="F97" s="349"/>
      <c r="G97" s="349"/>
      <c r="H97" s="350"/>
      <c r="I97" s="353" t="s">
        <v>54</v>
      </c>
      <c r="J97" s="211" t="s">
        <v>115</v>
      </c>
      <c r="K97" s="61" t="s">
        <v>116</v>
      </c>
      <c r="L97" s="65"/>
      <c r="M97" s="63" t="s">
        <v>115</v>
      </c>
      <c r="N97" s="225">
        <v>40886</v>
      </c>
      <c r="O97" s="64" t="s">
        <v>12</v>
      </c>
      <c r="P97" s="263">
        <v>161</v>
      </c>
      <c r="Q97" s="264">
        <v>6</v>
      </c>
      <c r="R97" s="264">
        <v>8</v>
      </c>
      <c r="S97" s="741">
        <v>57</v>
      </c>
      <c r="T97" s="742">
        <v>7</v>
      </c>
      <c r="U97" s="741">
        <v>66</v>
      </c>
      <c r="V97" s="742">
        <v>8</v>
      </c>
      <c r="W97" s="741">
        <v>22</v>
      </c>
      <c r="X97" s="742">
        <v>3</v>
      </c>
      <c r="Y97" s="846">
        <f t="shared" si="28"/>
        <v>145</v>
      </c>
      <c r="Z97" s="847">
        <f t="shared" si="29"/>
        <v>18</v>
      </c>
      <c r="AA97" s="730">
        <f t="shared" si="30"/>
        <v>3</v>
      </c>
      <c r="AB97" s="731">
        <f t="shared" si="31"/>
        <v>8.055555555555555</v>
      </c>
      <c r="AC97" s="736">
        <v>145</v>
      </c>
      <c r="AD97" s="733">
        <f t="shared" si="32"/>
        <v>0</v>
      </c>
      <c r="AE97" s="747">
        <f t="shared" si="34"/>
        <v>1052</v>
      </c>
      <c r="AF97" s="748">
        <f t="shared" si="35"/>
        <v>171</v>
      </c>
      <c r="AG97" s="756">
        <v>1197</v>
      </c>
      <c r="AH97" s="757">
        <v>189</v>
      </c>
      <c r="AI97" s="751">
        <f t="shared" si="36"/>
        <v>0.09523809523809523</v>
      </c>
      <c r="AJ97" s="751">
        <f t="shared" si="37"/>
        <v>0.9047619047619048</v>
      </c>
      <c r="AK97" s="748">
        <f t="shared" si="38"/>
        <v>31.5</v>
      </c>
      <c r="AL97" s="752">
        <f t="shared" si="39"/>
        <v>6.333333333333333</v>
      </c>
      <c r="AM97" s="758">
        <v>5488</v>
      </c>
      <c r="AN97" s="751">
        <f t="shared" si="33"/>
        <v>-0.7818877551020408</v>
      </c>
      <c r="AO97" s="268">
        <v>881014</v>
      </c>
      <c r="AP97" s="269">
        <v>107500</v>
      </c>
      <c r="AQ97" s="768">
        <f t="shared" si="27"/>
        <v>8.195479069767442</v>
      </c>
      <c r="AR97" s="316">
        <v>40949</v>
      </c>
      <c r="AS97" s="509" t="s">
        <v>530</v>
      </c>
    </row>
    <row r="98" spans="1:45" s="10" customFormat="1" ht="15.75" hidden="1">
      <c r="A98" s="368" t="s">
        <v>580</v>
      </c>
      <c r="B98" s="348"/>
      <c r="C98" s="352" t="s">
        <v>261</v>
      </c>
      <c r="D98" s="349"/>
      <c r="E98" s="349"/>
      <c r="F98" s="349"/>
      <c r="G98" s="349"/>
      <c r="H98" s="350"/>
      <c r="I98" s="353" t="s">
        <v>54</v>
      </c>
      <c r="J98" s="214" t="s">
        <v>106</v>
      </c>
      <c r="K98" s="61" t="s">
        <v>114</v>
      </c>
      <c r="L98" s="61"/>
      <c r="M98" s="61" t="s">
        <v>106</v>
      </c>
      <c r="N98" s="225">
        <v>40879</v>
      </c>
      <c r="O98" s="64" t="s">
        <v>8</v>
      </c>
      <c r="P98" s="263">
        <v>39</v>
      </c>
      <c r="Q98" s="273">
        <v>1</v>
      </c>
      <c r="R98" s="273">
        <v>11</v>
      </c>
      <c r="S98" s="734">
        <v>24</v>
      </c>
      <c r="T98" s="735">
        <v>4</v>
      </c>
      <c r="U98" s="734">
        <v>50</v>
      </c>
      <c r="V98" s="735">
        <v>8</v>
      </c>
      <c r="W98" s="734">
        <v>60</v>
      </c>
      <c r="X98" s="735">
        <v>9</v>
      </c>
      <c r="Y98" s="846">
        <f t="shared" si="28"/>
        <v>134</v>
      </c>
      <c r="Z98" s="847">
        <f t="shared" si="29"/>
        <v>21</v>
      </c>
      <c r="AA98" s="730">
        <f t="shared" si="30"/>
        <v>21</v>
      </c>
      <c r="AB98" s="731">
        <f t="shared" si="31"/>
        <v>6.380952380952381</v>
      </c>
      <c r="AC98" s="736">
        <v>134</v>
      </c>
      <c r="AD98" s="733">
        <f t="shared" si="32"/>
        <v>0</v>
      </c>
      <c r="AE98" s="747">
        <f t="shared" si="34"/>
        <v>166</v>
      </c>
      <c r="AF98" s="748">
        <f t="shared" si="35"/>
        <v>32</v>
      </c>
      <c r="AG98" s="762">
        <v>300</v>
      </c>
      <c r="AH98" s="763">
        <v>53</v>
      </c>
      <c r="AI98" s="751">
        <f t="shared" si="36"/>
        <v>0.39622641509433965</v>
      </c>
      <c r="AJ98" s="751">
        <f t="shared" si="37"/>
        <v>0.6037735849056604</v>
      </c>
      <c r="AK98" s="748">
        <f t="shared" si="38"/>
        <v>53</v>
      </c>
      <c r="AL98" s="752">
        <f t="shared" si="39"/>
        <v>5.660377358490566</v>
      </c>
      <c r="AM98" s="758">
        <v>378</v>
      </c>
      <c r="AN98" s="751">
        <f t="shared" si="33"/>
        <v>-0.20634920634920634</v>
      </c>
      <c r="AO98" s="774">
        <v>224713</v>
      </c>
      <c r="AP98" s="775">
        <v>25493</v>
      </c>
      <c r="AQ98" s="768">
        <f t="shared" si="27"/>
        <v>8.81469422978857</v>
      </c>
      <c r="AR98" s="316">
        <v>40949</v>
      </c>
      <c r="AS98" s="509" t="s">
        <v>576</v>
      </c>
    </row>
    <row r="99" spans="1:45" s="10" customFormat="1" ht="15.75" hidden="1">
      <c r="A99" s="368" t="s">
        <v>581</v>
      </c>
      <c r="B99" s="348"/>
      <c r="C99" s="352" t="s">
        <v>261</v>
      </c>
      <c r="D99" s="349"/>
      <c r="E99" s="349"/>
      <c r="F99" s="349"/>
      <c r="G99" s="349"/>
      <c r="H99" s="350"/>
      <c r="I99" s="357"/>
      <c r="J99" s="214" t="s">
        <v>135</v>
      </c>
      <c r="K99" s="61" t="s">
        <v>133</v>
      </c>
      <c r="L99" s="67" t="s">
        <v>99</v>
      </c>
      <c r="M99" s="65" t="s">
        <v>134</v>
      </c>
      <c r="N99" s="226">
        <v>40851</v>
      </c>
      <c r="O99" s="64" t="s">
        <v>52</v>
      </c>
      <c r="P99" s="287">
        <v>29</v>
      </c>
      <c r="Q99" s="264">
        <v>1</v>
      </c>
      <c r="R99" s="264">
        <v>11</v>
      </c>
      <c r="S99" s="728">
        <v>12</v>
      </c>
      <c r="T99" s="729">
        <v>2</v>
      </c>
      <c r="U99" s="728">
        <v>0</v>
      </c>
      <c r="V99" s="729">
        <v>0</v>
      </c>
      <c r="W99" s="728">
        <v>24</v>
      </c>
      <c r="X99" s="729">
        <v>4</v>
      </c>
      <c r="Y99" s="846">
        <f t="shared" si="28"/>
        <v>36</v>
      </c>
      <c r="Z99" s="847">
        <f t="shared" si="29"/>
        <v>6</v>
      </c>
      <c r="AA99" s="730">
        <f t="shared" si="30"/>
        <v>6</v>
      </c>
      <c r="AB99" s="731">
        <f t="shared" si="31"/>
        <v>6</v>
      </c>
      <c r="AC99" s="736">
        <v>36</v>
      </c>
      <c r="AD99" s="733">
        <f t="shared" si="32"/>
        <v>0</v>
      </c>
      <c r="AE99" s="747">
        <f t="shared" si="34"/>
        <v>12</v>
      </c>
      <c r="AF99" s="748">
        <f t="shared" si="35"/>
        <v>2</v>
      </c>
      <c r="AG99" s="756">
        <v>48</v>
      </c>
      <c r="AH99" s="757">
        <v>8</v>
      </c>
      <c r="AI99" s="751">
        <f t="shared" si="36"/>
        <v>0.75</v>
      </c>
      <c r="AJ99" s="751">
        <f t="shared" si="37"/>
        <v>0.25</v>
      </c>
      <c r="AK99" s="748">
        <f t="shared" si="38"/>
        <v>8</v>
      </c>
      <c r="AL99" s="752">
        <f t="shared" si="39"/>
        <v>6</v>
      </c>
      <c r="AM99" s="759">
        <v>132</v>
      </c>
      <c r="AN99" s="751">
        <f t="shared" si="33"/>
        <v>-0.6363636363636364</v>
      </c>
      <c r="AO99" s="268">
        <f>58904+19329.5+590+8101+236+218+391.5+325+1050+132+48</f>
        <v>89325</v>
      </c>
      <c r="AP99" s="269">
        <f>5890+1991+54+1603+47+38+47+65+150+22+8</f>
        <v>9915</v>
      </c>
      <c r="AQ99" s="768">
        <f t="shared" si="27"/>
        <v>9.009077155824508</v>
      </c>
      <c r="AR99" s="316">
        <v>40949</v>
      </c>
      <c r="AS99" s="509" t="s">
        <v>577</v>
      </c>
    </row>
    <row r="100" spans="1:45" s="10" customFormat="1" ht="15.75" hidden="1">
      <c r="A100" s="368" t="s">
        <v>582</v>
      </c>
      <c r="B100" s="348"/>
      <c r="C100" s="352" t="s">
        <v>261</v>
      </c>
      <c r="D100" s="349"/>
      <c r="E100" s="349"/>
      <c r="F100" s="349"/>
      <c r="G100" s="349"/>
      <c r="H100" s="350"/>
      <c r="I100" s="350"/>
      <c r="J100" s="211" t="s">
        <v>69</v>
      </c>
      <c r="K100" s="61" t="s">
        <v>88</v>
      </c>
      <c r="L100" s="63" t="s">
        <v>89</v>
      </c>
      <c r="M100" s="65" t="s">
        <v>70</v>
      </c>
      <c r="N100" s="226">
        <v>40844</v>
      </c>
      <c r="O100" s="64" t="s">
        <v>68</v>
      </c>
      <c r="P100" s="263">
        <v>65</v>
      </c>
      <c r="Q100" s="264">
        <v>3</v>
      </c>
      <c r="R100" s="264">
        <v>12</v>
      </c>
      <c r="S100" s="732">
        <v>0</v>
      </c>
      <c r="T100" s="743">
        <v>0</v>
      </c>
      <c r="U100" s="732">
        <v>0</v>
      </c>
      <c r="V100" s="743">
        <v>0</v>
      </c>
      <c r="W100" s="732">
        <v>0</v>
      </c>
      <c r="X100" s="743">
        <v>0</v>
      </c>
      <c r="Y100" s="846">
        <f t="shared" si="28"/>
        <v>0</v>
      </c>
      <c r="Z100" s="847">
        <f t="shared" si="29"/>
        <v>0</v>
      </c>
      <c r="AA100" s="730">
        <f t="shared" si="30"/>
      </c>
      <c r="AB100" s="731">
        <f t="shared" si="31"/>
      </c>
      <c r="AC100" s="736">
        <v>0</v>
      </c>
      <c r="AD100" s="733">
        <f t="shared" si="32"/>
      </c>
      <c r="AE100" s="747">
        <f t="shared" si="34"/>
        <v>3920.5</v>
      </c>
      <c r="AF100" s="748">
        <f t="shared" si="35"/>
        <v>784</v>
      </c>
      <c r="AG100" s="764">
        <v>3920.5</v>
      </c>
      <c r="AH100" s="765">
        <v>784</v>
      </c>
      <c r="AI100" s="751">
        <f t="shared" si="36"/>
        <v>0</v>
      </c>
      <c r="AJ100" s="751">
        <f t="shared" si="37"/>
        <v>1</v>
      </c>
      <c r="AK100" s="748">
        <f t="shared" si="38"/>
        <v>261.3333333333333</v>
      </c>
      <c r="AL100" s="752">
        <f t="shared" si="39"/>
        <v>5.000637755102041</v>
      </c>
      <c r="AM100" s="753">
        <v>2522</v>
      </c>
      <c r="AN100" s="751">
        <f t="shared" si="33"/>
        <v>0.5545202220459953</v>
      </c>
      <c r="AO100" s="497">
        <f>436701.5+604505+232735.5+57290.5+18114+16414.5+17253.5+4587+2405+7426+2522+4990+3920.5</f>
        <v>1408865</v>
      </c>
      <c r="AP100" s="498">
        <f>39979+54264+21249+5324+1678+2463+2408+819+357+1233+383+999+784</f>
        <v>131940</v>
      </c>
      <c r="AQ100" s="768">
        <f t="shared" si="27"/>
        <v>10.678073366681826</v>
      </c>
      <c r="AR100" s="316">
        <v>40949</v>
      </c>
      <c r="AS100" s="509" t="s">
        <v>506</v>
      </c>
    </row>
    <row r="101" spans="1:102" s="344" customFormat="1" ht="15.75" hidden="1">
      <c r="A101" s="368" t="s">
        <v>583</v>
      </c>
      <c r="B101" s="348"/>
      <c r="C101" s="352" t="s">
        <v>261</v>
      </c>
      <c r="D101" s="361" t="s">
        <v>223</v>
      </c>
      <c r="E101" s="356">
        <v>3</v>
      </c>
      <c r="F101" s="349"/>
      <c r="G101" s="360" t="s">
        <v>292</v>
      </c>
      <c r="H101" s="350"/>
      <c r="I101" s="350"/>
      <c r="J101" s="211" t="s">
        <v>654</v>
      </c>
      <c r="K101" s="63" t="s">
        <v>126</v>
      </c>
      <c r="L101" s="63" t="s">
        <v>89</v>
      </c>
      <c r="M101" s="63" t="s">
        <v>655</v>
      </c>
      <c r="N101" s="225">
        <v>39955</v>
      </c>
      <c r="O101" s="64" t="s">
        <v>68</v>
      </c>
      <c r="P101" s="263">
        <v>88</v>
      </c>
      <c r="Q101" s="264">
        <v>1</v>
      </c>
      <c r="R101" s="264">
        <v>29</v>
      </c>
      <c r="S101" s="732">
        <v>0</v>
      </c>
      <c r="T101" s="743">
        <v>0</v>
      </c>
      <c r="U101" s="732">
        <v>0</v>
      </c>
      <c r="V101" s="743">
        <v>0</v>
      </c>
      <c r="W101" s="732">
        <v>0</v>
      </c>
      <c r="X101" s="743">
        <v>0</v>
      </c>
      <c r="Y101" s="846">
        <f t="shared" si="28"/>
        <v>0</v>
      </c>
      <c r="Z101" s="847">
        <f t="shared" si="29"/>
        <v>0</v>
      </c>
      <c r="AA101" s="730"/>
      <c r="AB101" s="731"/>
      <c r="AC101" s="736">
        <v>0</v>
      </c>
      <c r="AD101" s="733">
        <f t="shared" si="32"/>
      </c>
      <c r="AE101" s="747">
        <f t="shared" si="34"/>
        <v>3565</v>
      </c>
      <c r="AF101" s="748">
        <f t="shared" si="35"/>
        <v>713</v>
      </c>
      <c r="AG101" s="764">
        <v>3565</v>
      </c>
      <c r="AH101" s="765">
        <v>713</v>
      </c>
      <c r="AI101" s="751">
        <f t="shared" si="36"/>
        <v>0</v>
      </c>
      <c r="AJ101" s="751">
        <f t="shared" si="37"/>
        <v>1</v>
      </c>
      <c r="AK101" s="748">
        <f t="shared" si="38"/>
        <v>713</v>
      </c>
      <c r="AL101" s="752">
        <f t="shared" si="39"/>
        <v>5</v>
      </c>
      <c r="AM101" s="753"/>
      <c r="AN101" s="751"/>
      <c r="AO101" s="497">
        <f>253985.25+197941+176827+129137.25+73306.5+36496.5+20735+12653+3137+3974+3108+6704.75+3312+1885+643+108556.75+31027+8660.5+1196.5+2137+5262+2140+4040+1780+1188+1780+43620+1424+1780+3565</f>
        <v>1142002</v>
      </c>
      <c r="AP101" s="498">
        <f>26929+21325+23241+17550+10624+6388+4049+2644+577+882+663+1354+764+460+116+14641+4967+986+117+181+1185+535+1010+445+297+445+10905+356+356+713</f>
        <v>154705</v>
      </c>
      <c r="AQ101" s="768">
        <f t="shared" si="27"/>
        <v>7.381804078730487</v>
      </c>
      <c r="AR101" s="316">
        <v>40949</v>
      </c>
      <c r="AS101" s="509" t="s">
        <v>511</v>
      </c>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row>
    <row r="102" spans="1:102" s="344" customFormat="1" ht="15.75" hidden="1">
      <c r="A102" s="368" t="s">
        <v>584</v>
      </c>
      <c r="B102" s="348"/>
      <c r="C102" s="352" t="s">
        <v>261</v>
      </c>
      <c r="D102" s="349"/>
      <c r="E102" s="355"/>
      <c r="F102" s="349"/>
      <c r="G102" s="349"/>
      <c r="H102" s="350"/>
      <c r="I102" s="350"/>
      <c r="J102" s="211" t="s">
        <v>694</v>
      </c>
      <c r="K102" s="63" t="s">
        <v>705</v>
      </c>
      <c r="L102" s="65" t="s">
        <v>128</v>
      </c>
      <c r="M102" s="63" t="s">
        <v>713</v>
      </c>
      <c r="N102" s="225">
        <v>40893</v>
      </c>
      <c r="O102" s="64" t="s">
        <v>68</v>
      </c>
      <c r="P102" s="263">
        <v>1</v>
      </c>
      <c r="Q102" s="264">
        <v>1</v>
      </c>
      <c r="R102" s="264">
        <v>3</v>
      </c>
      <c r="S102" s="732">
        <v>0</v>
      </c>
      <c r="T102" s="743">
        <v>0</v>
      </c>
      <c r="U102" s="732">
        <v>0</v>
      </c>
      <c r="V102" s="743">
        <v>0</v>
      </c>
      <c r="W102" s="732">
        <v>0</v>
      </c>
      <c r="X102" s="743">
        <v>0</v>
      </c>
      <c r="Y102" s="846">
        <f t="shared" si="28"/>
        <v>0</v>
      </c>
      <c r="Z102" s="847">
        <f t="shared" si="29"/>
        <v>0</v>
      </c>
      <c r="AA102" s="730"/>
      <c r="AB102" s="731"/>
      <c r="AC102" s="736">
        <v>0</v>
      </c>
      <c r="AD102" s="733">
        <f t="shared" si="32"/>
      </c>
      <c r="AE102" s="747">
        <f t="shared" si="34"/>
        <v>3207.5</v>
      </c>
      <c r="AF102" s="748">
        <f t="shared" si="35"/>
        <v>642</v>
      </c>
      <c r="AG102" s="764">
        <v>3207.5</v>
      </c>
      <c r="AH102" s="765">
        <v>642</v>
      </c>
      <c r="AI102" s="751">
        <f t="shared" si="36"/>
        <v>0</v>
      </c>
      <c r="AJ102" s="751">
        <f t="shared" si="37"/>
        <v>1</v>
      </c>
      <c r="AK102" s="748">
        <f t="shared" si="38"/>
        <v>642</v>
      </c>
      <c r="AL102" s="752">
        <f t="shared" si="39"/>
        <v>4.996105919003115</v>
      </c>
      <c r="AM102" s="753"/>
      <c r="AN102" s="751"/>
      <c r="AO102" s="497">
        <f>1021.5+726.5+3207.5</f>
        <v>4955.5</v>
      </c>
      <c r="AP102" s="498">
        <f>71+52+642</f>
        <v>765</v>
      </c>
      <c r="AQ102" s="768">
        <f t="shared" si="27"/>
        <v>6.477777777777778</v>
      </c>
      <c r="AR102" s="316">
        <v>40949</v>
      </c>
      <c r="AS102" s="509" t="s">
        <v>513</v>
      </c>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row>
    <row r="103" spans="1:102" s="344" customFormat="1" ht="15.75" hidden="1">
      <c r="A103" s="368" t="s">
        <v>585</v>
      </c>
      <c r="B103" s="348"/>
      <c r="C103" s="352" t="s">
        <v>261</v>
      </c>
      <c r="D103" s="349"/>
      <c r="E103" s="349"/>
      <c r="F103" s="349"/>
      <c r="G103" s="349"/>
      <c r="H103" s="350"/>
      <c r="I103" s="353" t="s">
        <v>54</v>
      </c>
      <c r="J103" s="211" t="s">
        <v>67</v>
      </c>
      <c r="K103" s="63" t="s">
        <v>85</v>
      </c>
      <c r="L103" s="63"/>
      <c r="M103" s="63" t="s">
        <v>67</v>
      </c>
      <c r="N103" s="225">
        <v>40844</v>
      </c>
      <c r="O103" s="64" t="s">
        <v>68</v>
      </c>
      <c r="P103" s="263">
        <v>278</v>
      </c>
      <c r="Q103" s="264">
        <v>1</v>
      </c>
      <c r="R103" s="264">
        <v>15</v>
      </c>
      <c r="S103" s="732">
        <v>0</v>
      </c>
      <c r="T103" s="743">
        <v>0</v>
      </c>
      <c r="U103" s="732">
        <v>0</v>
      </c>
      <c r="V103" s="743">
        <v>0</v>
      </c>
      <c r="W103" s="732">
        <v>0</v>
      </c>
      <c r="X103" s="743">
        <v>0</v>
      </c>
      <c r="Y103" s="846">
        <f t="shared" si="28"/>
        <v>0</v>
      </c>
      <c r="Z103" s="847">
        <f t="shared" si="29"/>
        <v>0</v>
      </c>
      <c r="AA103" s="730">
        <f>IF(Y103&lt;&gt;0,Z103/Q103,"")</f>
      </c>
      <c r="AB103" s="731">
        <f>IF(Y103&lt;&gt;0,Y103/Z103,"")</f>
      </c>
      <c r="AC103" s="736">
        <v>0</v>
      </c>
      <c r="AD103" s="733">
        <f t="shared" si="32"/>
      </c>
      <c r="AE103" s="747">
        <f t="shared" si="34"/>
        <v>2851</v>
      </c>
      <c r="AF103" s="748">
        <f t="shared" si="35"/>
        <v>284</v>
      </c>
      <c r="AG103" s="764">
        <v>2851</v>
      </c>
      <c r="AH103" s="765">
        <v>284</v>
      </c>
      <c r="AI103" s="751">
        <f t="shared" si="36"/>
        <v>0</v>
      </c>
      <c r="AJ103" s="751">
        <f t="shared" si="37"/>
        <v>1</v>
      </c>
      <c r="AK103" s="748">
        <f t="shared" si="38"/>
        <v>284</v>
      </c>
      <c r="AL103" s="752">
        <f t="shared" si="39"/>
        <v>10.038732394366198</v>
      </c>
      <c r="AM103" s="753"/>
      <c r="AN103" s="751">
        <f>IF(AM103&lt;&gt;0,-(AM103-AG103)/AM103,"")</f>
      </c>
      <c r="AO103" s="497">
        <f>2021467.25+4147826.75+1641146.5+1086471.5+837723.5+353523.5+115157+12431.5+1554+13261.5+3397.5+17222.5+17226.5+5821+1188+2851+2851</f>
        <v>10281120.5</v>
      </c>
      <c r="AP103" s="498">
        <f>231121+459388+190384+130345+104513+46481+14878+1830+250+1860+737+1888+2090+661+238+570+284</f>
        <v>1187518</v>
      </c>
      <c r="AQ103" s="768">
        <f t="shared" si="27"/>
        <v>8.657654452395668</v>
      </c>
      <c r="AR103" s="316">
        <v>40949</v>
      </c>
      <c r="AS103" s="509" t="s">
        <v>516</v>
      </c>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row>
    <row r="104" spans="1:102" s="344" customFormat="1" ht="15.75" hidden="1">
      <c r="A104" s="368" t="s">
        <v>586</v>
      </c>
      <c r="B104" s="348"/>
      <c r="C104" s="352" t="s">
        <v>261</v>
      </c>
      <c r="D104" s="361" t="s">
        <v>223</v>
      </c>
      <c r="E104" s="349"/>
      <c r="F104" s="369"/>
      <c r="G104" s="360" t="s">
        <v>292</v>
      </c>
      <c r="H104" s="354" t="s">
        <v>55</v>
      </c>
      <c r="I104" s="351"/>
      <c r="J104" s="211" t="s">
        <v>446</v>
      </c>
      <c r="K104" s="63" t="s">
        <v>714</v>
      </c>
      <c r="L104" s="63" t="s">
        <v>89</v>
      </c>
      <c r="M104" s="63" t="s">
        <v>454</v>
      </c>
      <c r="N104" s="225">
        <v>39878</v>
      </c>
      <c r="O104" s="64" t="s">
        <v>68</v>
      </c>
      <c r="P104" s="263">
        <v>39</v>
      </c>
      <c r="Q104" s="264">
        <v>1</v>
      </c>
      <c r="R104" s="264">
        <v>39</v>
      </c>
      <c r="S104" s="732">
        <v>0</v>
      </c>
      <c r="T104" s="743">
        <v>0</v>
      </c>
      <c r="U104" s="732">
        <v>0</v>
      </c>
      <c r="V104" s="743">
        <v>0</v>
      </c>
      <c r="W104" s="732">
        <v>0</v>
      </c>
      <c r="X104" s="743">
        <v>0</v>
      </c>
      <c r="Y104" s="846">
        <f t="shared" si="28"/>
        <v>0</v>
      </c>
      <c r="Z104" s="847">
        <f t="shared" si="29"/>
        <v>0</v>
      </c>
      <c r="AA104" s="730">
        <f>IF(Y104&lt;&gt;0,Z104/Q104,"")</f>
      </c>
      <c r="AB104" s="731">
        <f>IF(Y104&lt;&gt;0,Y104/Z104,"")</f>
      </c>
      <c r="AC104" s="736">
        <v>0</v>
      </c>
      <c r="AD104" s="733">
        <f t="shared" si="32"/>
      </c>
      <c r="AE104" s="747">
        <f t="shared" si="34"/>
        <v>2446</v>
      </c>
      <c r="AF104" s="748">
        <f t="shared" si="35"/>
        <v>1164</v>
      </c>
      <c r="AG104" s="764">
        <v>2446</v>
      </c>
      <c r="AH104" s="765">
        <v>1164</v>
      </c>
      <c r="AI104" s="751">
        <f t="shared" si="36"/>
        <v>0</v>
      </c>
      <c r="AJ104" s="751">
        <f t="shared" si="37"/>
        <v>1</v>
      </c>
      <c r="AK104" s="748">
        <f t="shared" si="38"/>
        <v>1164</v>
      </c>
      <c r="AL104" s="752">
        <f t="shared" si="39"/>
        <v>2.1013745704467355</v>
      </c>
      <c r="AM104" s="753"/>
      <c r="AN104" s="751">
        <f>IF(AM104&lt;&gt;0,-(AM104-AG104)/AM104,"")</f>
      </c>
      <c r="AO104" s="497">
        <f>204018.5+92011.75+38624.5+27400+22817+12697.5+8373+8455.5+6781+2290+2830+1048+3163+3005+2166+6840+1490+14+6415.5+3721.5+7267.5+3007+701.5+608.5+3931+316+1244+768+1787+1197+7128+1188+3008+2446</f>
        <v>488759.25</v>
      </c>
      <c r="AP104" s="498">
        <f>20915+10991+4900+3855+3433+1986+1329+1415+1032+399+409+237+591+657+312+1653+293+7+1605+687+1458+678+106+95+900+62+202+109+514+390+1783+238+720+1164</f>
        <v>65125</v>
      </c>
      <c r="AQ104" s="768">
        <f t="shared" si="27"/>
        <v>7.504940499040307</v>
      </c>
      <c r="AR104" s="316">
        <v>40949</v>
      </c>
      <c r="AS104" s="509" t="s">
        <v>520</v>
      </c>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row>
    <row r="105" spans="1:102" s="344" customFormat="1" ht="15.75" hidden="1">
      <c r="A105" s="368" t="s">
        <v>587</v>
      </c>
      <c r="B105" s="348"/>
      <c r="C105" s="352" t="s">
        <v>261</v>
      </c>
      <c r="D105" s="361" t="s">
        <v>223</v>
      </c>
      <c r="E105" s="349"/>
      <c r="G105" s="360" t="s">
        <v>292</v>
      </c>
      <c r="H105" s="354" t="s">
        <v>55</v>
      </c>
      <c r="I105" s="351"/>
      <c r="J105" s="211" t="s">
        <v>357</v>
      </c>
      <c r="K105" s="63" t="s">
        <v>126</v>
      </c>
      <c r="L105" s="65" t="s">
        <v>89</v>
      </c>
      <c r="M105" s="63" t="s">
        <v>361</v>
      </c>
      <c r="N105" s="225">
        <v>40172</v>
      </c>
      <c r="O105" s="64" t="s">
        <v>68</v>
      </c>
      <c r="P105" s="263">
        <v>60</v>
      </c>
      <c r="Q105" s="264">
        <v>1</v>
      </c>
      <c r="R105" s="264">
        <v>40</v>
      </c>
      <c r="S105" s="732"/>
      <c r="T105" s="743"/>
      <c r="U105" s="732"/>
      <c r="V105" s="743"/>
      <c r="W105" s="732"/>
      <c r="X105" s="743"/>
      <c r="Y105" s="846">
        <f t="shared" si="28"/>
        <v>0</v>
      </c>
      <c r="Z105" s="847">
        <f t="shared" si="29"/>
        <v>0</v>
      </c>
      <c r="AA105" s="730">
        <f>IF(Y105&lt;&gt;0,Z105/Q105,"")</f>
      </c>
      <c r="AB105" s="731">
        <f>IF(Y105&lt;&gt;0,Y105/Z105,"")</f>
      </c>
      <c r="AC105" s="736">
        <v>0</v>
      </c>
      <c r="AD105" s="733">
        <f t="shared" si="32"/>
      </c>
      <c r="AE105" s="747">
        <f t="shared" si="34"/>
        <v>2376</v>
      </c>
      <c r="AF105" s="748">
        <f t="shared" si="35"/>
        <v>475</v>
      </c>
      <c r="AG105" s="764">
        <v>2376</v>
      </c>
      <c r="AH105" s="765">
        <v>475</v>
      </c>
      <c r="AI105" s="751">
        <f t="shared" si="36"/>
        <v>0</v>
      </c>
      <c r="AJ105" s="751">
        <f t="shared" si="37"/>
        <v>1</v>
      </c>
      <c r="AK105" s="748">
        <f t="shared" si="38"/>
        <v>475</v>
      </c>
      <c r="AL105" s="752">
        <f t="shared" si="39"/>
        <v>5.002105263157895</v>
      </c>
      <c r="AM105" s="753"/>
      <c r="AN105" s="751">
        <f>IF(AM105&lt;&gt;0,-(AM105-AG105)/AM105,"")</f>
      </c>
      <c r="AO105" s="497">
        <f>421775.5+397095.5+287050+215248.5+189819.5+180729.5+86816.5+23840+19148+14942.5+8798.5+9599+13618.5+4298+4028+3310+8547+6712.5+1803+1172+973+2291+380.5+3015+1103.5+65+2061.5+1262+1020+2232+2970+5074+2970+1188+250+200+70+4277+2138.5+1425.5+2376</f>
        <v>1935694.5</v>
      </c>
      <c r="AP105" s="498">
        <f>43739+40732+31780+27356+25902+24895+12153+4496+3179+3069+1650+2236+3335+954+829+540+1945+1297+429+261+173+594+53+613+200+10+480+240+102+533+743+1267+742+297+28+20+7+1068+534+356+475</f>
        <v>239312</v>
      </c>
      <c r="AQ105" s="768">
        <f t="shared" si="27"/>
        <v>8.08858101557799</v>
      </c>
      <c r="AR105" s="316">
        <v>40949</v>
      </c>
      <c r="AS105" s="509" t="s">
        <v>523</v>
      </c>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row>
    <row r="106" spans="1:102" s="344" customFormat="1" ht="15.75" hidden="1">
      <c r="A106" s="368" t="s">
        <v>588</v>
      </c>
      <c r="B106" s="348"/>
      <c r="C106" s="352" t="s">
        <v>261</v>
      </c>
      <c r="D106" s="361" t="s">
        <v>223</v>
      </c>
      <c r="E106" s="349"/>
      <c r="F106" s="369"/>
      <c r="G106" s="349"/>
      <c r="H106" s="354" t="s">
        <v>55</v>
      </c>
      <c r="I106" s="351"/>
      <c r="J106" s="211" t="s">
        <v>445</v>
      </c>
      <c r="K106" s="63" t="s">
        <v>449</v>
      </c>
      <c r="L106" s="63" t="s">
        <v>89</v>
      </c>
      <c r="M106" s="63" t="s">
        <v>453</v>
      </c>
      <c r="N106" s="225">
        <v>39864</v>
      </c>
      <c r="O106" s="64" t="s">
        <v>68</v>
      </c>
      <c r="P106" s="263">
        <v>55</v>
      </c>
      <c r="Q106" s="264">
        <v>1</v>
      </c>
      <c r="R106" s="264">
        <v>37</v>
      </c>
      <c r="S106" s="732">
        <v>0</v>
      </c>
      <c r="T106" s="743">
        <v>0</v>
      </c>
      <c r="U106" s="732">
        <v>0</v>
      </c>
      <c r="V106" s="743">
        <v>0</v>
      </c>
      <c r="W106" s="732">
        <v>0</v>
      </c>
      <c r="X106" s="743">
        <v>0</v>
      </c>
      <c r="Y106" s="846">
        <f t="shared" si="28"/>
        <v>0</v>
      </c>
      <c r="Z106" s="847">
        <f t="shared" si="29"/>
        <v>0</v>
      </c>
      <c r="AA106" s="730">
        <f>IF(Y106&lt;&gt;0,Z106/Q106,"")</f>
      </c>
      <c r="AB106" s="731">
        <f>IF(Y106&lt;&gt;0,Y106/Z106,"")</f>
      </c>
      <c r="AC106" s="736">
        <v>0</v>
      </c>
      <c r="AD106" s="733">
        <f t="shared" si="32"/>
      </c>
      <c r="AE106" s="747">
        <f t="shared" si="34"/>
        <v>1780</v>
      </c>
      <c r="AF106" s="748">
        <f t="shared" si="35"/>
        <v>356</v>
      </c>
      <c r="AG106" s="764">
        <v>1780</v>
      </c>
      <c r="AH106" s="765">
        <v>356</v>
      </c>
      <c r="AI106" s="751">
        <f t="shared" si="36"/>
        <v>0</v>
      </c>
      <c r="AJ106" s="751">
        <f t="shared" si="37"/>
        <v>1</v>
      </c>
      <c r="AK106" s="748">
        <f t="shared" si="38"/>
        <v>356</v>
      </c>
      <c r="AL106" s="752">
        <f t="shared" si="39"/>
        <v>5</v>
      </c>
      <c r="AM106" s="753"/>
      <c r="AN106" s="751">
        <f>IF(AM106&lt;&gt;0,-(AM106-AG106)/AM106,"")</f>
      </c>
      <c r="AO106" s="497">
        <f>190777.5+154065+60826.5+20820+23589+29712+19396.5+16102+12940+11034+3005+981+1140+40+98.25+284+1000+300+220+1211.5+155+156+63+1780+5228+1780+450+952+145+640+2445+2376+2376+2376+4752+2376+2852+1780</f>
        <v>580224.25</v>
      </c>
      <c r="AP106" s="498">
        <f>20518+17650+7809+3283+4115+5826+3911+3770+2981+2505+653+199+194+8+18+60+100+75+44+292+22+22+19+445+1307+445+75+238+29+128+383+594+594+594+1188+594+713+356</f>
        <v>81757</v>
      </c>
      <c r="AQ106" s="768">
        <f t="shared" si="27"/>
        <v>7.096936653742187</v>
      </c>
      <c r="AR106" s="316">
        <v>40949</v>
      </c>
      <c r="AS106" s="509" t="s">
        <v>408</v>
      </c>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row>
    <row r="107" spans="1:102" s="344" customFormat="1" ht="15.75" hidden="1">
      <c r="A107" s="368" t="s">
        <v>589</v>
      </c>
      <c r="B107" s="348"/>
      <c r="C107" s="352" t="s">
        <v>261</v>
      </c>
      <c r="D107" s="349"/>
      <c r="E107" s="349"/>
      <c r="F107" s="369"/>
      <c r="G107" s="349"/>
      <c r="H107" s="350"/>
      <c r="I107" s="351"/>
      <c r="J107" s="211" t="s">
        <v>448</v>
      </c>
      <c r="K107" s="63" t="s">
        <v>462</v>
      </c>
      <c r="L107" s="63" t="s">
        <v>89</v>
      </c>
      <c r="M107" s="63" t="s">
        <v>456</v>
      </c>
      <c r="N107" s="225">
        <v>40753</v>
      </c>
      <c r="O107" s="64" t="s">
        <v>68</v>
      </c>
      <c r="P107" s="263">
        <v>13</v>
      </c>
      <c r="Q107" s="264">
        <v>1</v>
      </c>
      <c r="R107" s="264">
        <v>15</v>
      </c>
      <c r="S107" s="732">
        <v>0</v>
      </c>
      <c r="T107" s="743">
        <v>0</v>
      </c>
      <c r="U107" s="732">
        <v>0</v>
      </c>
      <c r="V107" s="743">
        <v>0</v>
      </c>
      <c r="W107" s="732">
        <v>0</v>
      </c>
      <c r="X107" s="743">
        <v>0</v>
      </c>
      <c r="Y107" s="846">
        <f t="shared" si="28"/>
        <v>0</v>
      </c>
      <c r="Z107" s="847">
        <f t="shared" si="29"/>
        <v>0</v>
      </c>
      <c r="AA107" s="730">
        <f>IF(Y107&lt;&gt;0,Z107/Q107,"")</f>
      </c>
      <c r="AB107" s="731">
        <f>IF(Y107&lt;&gt;0,Y107/Z107,"")</f>
      </c>
      <c r="AC107" s="736">
        <v>0</v>
      </c>
      <c r="AD107" s="733">
        <f t="shared" si="32"/>
      </c>
      <c r="AE107" s="747">
        <f t="shared" si="34"/>
        <v>1188</v>
      </c>
      <c r="AF107" s="748">
        <f t="shared" si="35"/>
        <v>238</v>
      </c>
      <c r="AG107" s="764">
        <v>1188</v>
      </c>
      <c r="AH107" s="765">
        <v>238</v>
      </c>
      <c r="AI107" s="751">
        <f t="shared" si="36"/>
        <v>0</v>
      </c>
      <c r="AJ107" s="751">
        <f t="shared" si="37"/>
        <v>1</v>
      </c>
      <c r="AK107" s="748">
        <f t="shared" si="38"/>
        <v>238</v>
      </c>
      <c r="AL107" s="752">
        <f t="shared" si="39"/>
        <v>4.991596638655462</v>
      </c>
      <c r="AM107" s="753"/>
      <c r="AN107" s="751">
        <f>IF(AM107&lt;&gt;0,-(AM107-AG107)/AM107,"")</f>
      </c>
      <c r="AO107" s="497">
        <f>37355+12427+7492+8213.5+4676+5757+7050+1356+2892.5+6045+5978+639+919+810+143.5+1188</f>
        <v>102941.5</v>
      </c>
      <c r="AP107" s="498">
        <f>3112+1234+925+858+645+791+1079+205+381+739+757+85+126+135+31+238</f>
        <v>11341</v>
      </c>
      <c r="AQ107" s="768">
        <f aca="true" t="shared" si="40" ref="AQ107:AQ138">AO107/AP107</f>
        <v>9.076933251036063</v>
      </c>
      <c r="AR107" s="316">
        <v>40949</v>
      </c>
      <c r="AS107" s="509" t="s">
        <v>531</v>
      </c>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row>
    <row r="108" spans="1:102" s="344" customFormat="1" ht="15.75" hidden="1">
      <c r="A108" s="368" t="s">
        <v>590</v>
      </c>
      <c r="B108" s="348"/>
      <c r="C108" s="352" t="s">
        <v>261</v>
      </c>
      <c r="D108" s="349"/>
      <c r="E108" s="355"/>
      <c r="F108" s="349"/>
      <c r="G108" s="349"/>
      <c r="H108" s="350"/>
      <c r="I108" s="350"/>
      <c r="J108" s="211" t="s">
        <v>695</v>
      </c>
      <c r="K108" s="63" t="s">
        <v>715</v>
      </c>
      <c r="L108" s="65" t="s">
        <v>248</v>
      </c>
      <c r="M108" s="63" t="s">
        <v>136</v>
      </c>
      <c r="N108" s="225">
        <v>40186</v>
      </c>
      <c r="O108" s="64" t="s">
        <v>68</v>
      </c>
      <c r="P108" s="263">
        <v>4</v>
      </c>
      <c r="Q108" s="264">
        <v>1</v>
      </c>
      <c r="R108" s="264">
        <v>36</v>
      </c>
      <c r="S108" s="732">
        <v>0</v>
      </c>
      <c r="T108" s="743">
        <v>0</v>
      </c>
      <c r="U108" s="732">
        <v>0</v>
      </c>
      <c r="V108" s="743">
        <v>0</v>
      </c>
      <c r="W108" s="732">
        <v>0</v>
      </c>
      <c r="X108" s="743">
        <v>0</v>
      </c>
      <c r="Y108" s="846">
        <f t="shared" si="28"/>
        <v>0</v>
      </c>
      <c r="Z108" s="847">
        <f t="shared" si="29"/>
        <v>0</v>
      </c>
      <c r="AA108" s="730"/>
      <c r="AB108" s="731"/>
      <c r="AC108" s="736">
        <v>0</v>
      </c>
      <c r="AD108" s="733">
        <f t="shared" si="32"/>
      </c>
      <c r="AE108" s="747">
        <f t="shared" si="34"/>
        <v>1188</v>
      </c>
      <c r="AF108" s="748">
        <f t="shared" si="35"/>
        <v>238</v>
      </c>
      <c r="AG108" s="764">
        <v>1188</v>
      </c>
      <c r="AH108" s="765">
        <v>238</v>
      </c>
      <c r="AI108" s="751">
        <f t="shared" si="36"/>
        <v>0</v>
      </c>
      <c r="AJ108" s="751">
        <f t="shared" si="37"/>
        <v>1</v>
      </c>
      <c r="AK108" s="748">
        <f t="shared" si="38"/>
        <v>238</v>
      </c>
      <c r="AL108" s="752">
        <f t="shared" si="39"/>
        <v>4.991596638655462</v>
      </c>
      <c r="AM108" s="753"/>
      <c r="AN108" s="751"/>
      <c r="AO108" s="497">
        <f>83443.75+1230+270+181+132+1991+2160.5+1188</f>
        <v>90596.25</v>
      </c>
      <c r="AP108" s="498">
        <f>11555+209+47+34+22+311+532+238</f>
        <v>12948</v>
      </c>
      <c r="AQ108" s="768">
        <f t="shared" si="40"/>
        <v>6.996930027803522</v>
      </c>
      <c r="AR108" s="316">
        <v>40949</v>
      </c>
      <c r="AS108" s="509" t="s">
        <v>532</v>
      </c>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row>
    <row r="109" spans="1:102" s="344" customFormat="1" ht="15.75" hidden="1">
      <c r="A109" s="368" t="s">
        <v>591</v>
      </c>
      <c r="B109" s="348"/>
      <c r="C109" s="352" t="s">
        <v>261</v>
      </c>
      <c r="D109" s="361" t="s">
        <v>223</v>
      </c>
      <c r="E109" s="355"/>
      <c r="F109" s="349"/>
      <c r="G109" s="360" t="s">
        <v>292</v>
      </c>
      <c r="H109" s="354" t="s">
        <v>55</v>
      </c>
      <c r="I109" s="350"/>
      <c r="J109" s="211" t="s">
        <v>696</v>
      </c>
      <c r="K109" s="63" t="s">
        <v>360</v>
      </c>
      <c r="L109" s="65" t="s">
        <v>89</v>
      </c>
      <c r="M109" s="63" t="s">
        <v>701</v>
      </c>
      <c r="N109" s="225">
        <v>40515</v>
      </c>
      <c r="O109" s="64" t="s">
        <v>68</v>
      </c>
      <c r="P109" s="263">
        <v>62</v>
      </c>
      <c r="Q109" s="264">
        <v>1</v>
      </c>
      <c r="R109" s="264">
        <v>34</v>
      </c>
      <c r="S109" s="732">
        <v>0</v>
      </c>
      <c r="T109" s="743">
        <v>0</v>
      </c>
      <c r="U109" s="732">
        <v>0</v>
      </c>
      <c r="V109" s="743">
        <v>0</v>
      </c>
      <c r="W109" s="732">
        <v>0</v>
      </c>
      <c r="X109" s="743">
        <v>0</v>
      </c>
      <c r="Y109" s="846">
        <f aca="true" t="shared" si="41" ref="Y109:Y140">SUM(S109+U109+W109)</f>
        <v>0</v>
      </c>
      <c r="Z109" s="847">
        <f aca="true" t="shared" si="42" ref="Z109:Z140">T109+V109+X109</f>
        <v>0</v>
      </c>
      <c r="AA109" s="730"/>
      <c r="AB109" s="731"/>
      <c r="AC109" s="736">
        <v>0</v>
      </c>
      <c r="AD109" s="733">
        <f aca="true" t="shared" si="43" ref="AD109:AD140">IF(AC109&lt;&gt;0,-(AC109-Y109)/AC109,"")</f>
      </c>
      <c r="AE109" s="747">
        <f t="shared" si="34"/>
        <v>1188</v>
      </c>
      <c r="AF109" s="748">
        <f t="shared" si="35"/>
        <v>238</v>
      </c>
      <c r="AG109" s="764">
        <v>1188</v>
      </c>
      <c r="AH109" s="765">
        <v>238</v>
      </c>
      <c r="AI109" s="751">
        <f t="shared" si="36"/>
        <v>0</v>
      </c>
      <c r="AJ109" s="751">
        <f t="shared" si="37"/>
        <v>1</v>
      </c>
      <c r="AK109" s="748">
        <f t="shared" si="38"/>
        <v>238</v>
      </c>
      <c r="AL109" s="752">
        <f t="shared" si="39"/>
        <v>4.991596638655462</v>
      </c>
      <c r="AM109" s="753"/>
      <c r="AN109" s="751"/>
      <c r="AO109" s="497">
        <f>353151+191248+132731.5+71376+47862+26248.5+19265+34650.5+35095.5+42312+25849+10987+7528+3248+2395.5+3280.5+3141.5+4280+3042+1597+6128+4358+2107+777+4230+4335.5+1718.5+594+1978+2020+7747.5+1188+329+1188</f>
        <v>1057987</v>
      </c>
      <c r="AP109" s="498">
        <f>34650+19352+14525+10591+7581+5012+3223+6065+6865+6589+3930+1782+1091+624+468+512+688+987+804+306+1395+991+478+166+1058+1084+430+148+474+261+1593+297+63+238</f>
        <v>134321</v>
      </c>
      <c r="AQ109" s="768">
        <f t="shared" si="40"/>
        <v>7.876556904728226</v>
      </c>
      <c r="AR109" s="316">
        <v>40949</v>
      </c>
      <c r="AS109" s="509" t="s">
        <v>533</v>
      </c>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row>
    <row r="110" spans="1:102" s="344" customFormat="1" ht="15.75" hidden="1">
      <c r="A110" s="368" t="s">
        <v>592</v>
      </c>
      <c r="B110" s="348"/>
      <c r="C110" s="352" t="s">
        <v>261</v>
      </c>
      <c r="D110" s="349"/>
      <c r="E110" s="355"/>
      <c r="F110" s="349"/>
      <c r="G110" s="359"/>
      <c r="H110" s="350"/>
      <c r="I110" s="350"/>
      <c r="J110" s="211" t="s">
        <v>697</v>
      </c>
      <c r="K110" s="63" t="s">
        <v>702</v>
      </c>
      <c r="L110" s="65" t="s">
        <v>89</v>
      </c>
      <c r="M110" s="63" t="s">
        <v>703</v>
      </c>
      <c r="N110" s="225">
        <v>40746</v>
      </c>
      <c r="O110" s="64" t="s">
        <v>68</v>
      </c>
      <c r="P110" s="263">
        <v>8</v>
      </c>
      <c r="Q110" s="264">
        <v>1</v>
      </c>
      <c r="R110" s="264">
        <v>12</v>
      </c>
      <c r="S110" s="732">
        <v>0</v>
      </c>
      <c r="T110" s="743">
        <v>0</v>
      </c>
      <c r="U110" s="732">
        <v>0</v>
      </c>
      <c r="V110" s="743">
        <v>0</v>
      </c>
      <c r="W110" s="732">
        <v>0</v>
      </c>
      <c r="X110" s="743">
        <v>0</v>
      </c>
      <c r="Y110" s="846">
        <f t="shared" si="41"/>
        <v>0</v>
      </c>
      <c r="Z110" s="847">
        <f t="shared" si="42"/>
        <v>0</v>
      </c>
      <c r="AA110" s="730"/>
      <c r="AB110" s="731"/>
      <c r="AC110" s="736">
        <v>0</v>
      </c>
      <c r="AD110" s="733">
        <f t="shared" si="43"/>
      </c>
      <c r="AE110" s="747">
        <f t="shared" si="34"/>
        <v>1188</v>
      </c>
      <c r="AF110" s="748">
        <f t="shared" si="35"/>
        <v>238</v>
      </c>
      <c r="AG110" s="764">
        <v>1188</v>
      </c>
      <c r="AH110" s="765">
        <v>238</v>
      </c>
      <c r="AI110" s="751">
        <f t="shared" si="36"/>
        <v>0</v>
      </c>
      <c r="AJ110" s="751">
        <f t="shared" si="37"/>
        <v>1</v>
      </c>
      <c r="AK110" s="748">
        <f t="shared" si="38"/>
        <v>238</v>
      </c>
      <c r="AL110" s="752">
        <f t="shared" si="39"/>
        <v>4.991596638655462</v>
      </c>
      <c r="AM110" s="753"/>
      <c r="AN110" s="751"/>
      <c r="AO110" s="497">
        <f>34995.5+29767+4050+6340+3008.5+4152+1152+3132.5+792+962+1663+1188</f>
        <v>91202.5</v>
      </c>
      <c r="AP110" s="498">
        <f>2476+2114+377+695+481+799+155+438+105+135+416+238</f>
        <v>8429</v>
      </c>
      <c r="AQ110" s="768">
        <f t="shared" si="40"/>
        <v>10.820085419385455</v>
      </c>
      <c r="AR110" s="316">
        <v>40949</v>
      </c>
      <c r="AS110" s="509" t="s">
        <v>534</v>
      </c>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row>
    <row r="111" spans="1:102" s="344" customFormat="1" ht="15.75" hidden="1">
      <c r="A111" s="368" t="s">
        <v>593</v>
      </c>
      <c r="B111" s="348"/>
      <c r="C111" s="352" t="s">
        <v>261</v>
      </c>
      <c r="D111" s="349"/>
      <c r="E111" s="349"/>
      <c r="F111" s="349"/>
      <c r="G111" s="349"/>
      <c r="H111" s="350"/>
      <c r="I111" s="353" t="s">
        <v>54</v>
      </c>
      <c r="J111" s="211" t="s">
        <v>656</v>
      </c>
      <c r="K111" s="63" t="s">
        <v>657</v>
      </c>
      <c r="L111" s="63"/>
      <c r="M111" s="63" t="s">
        <v>656</v>
      </c>
      <c r="N111" s="225">
        <v>40662</v>
      </c>
      <c r="O111" s="64" t="s">
        <v>68</v>
      </c>
      <c r="P111" s="263">
        <v>10</v>
      </c>
      <c r="Q111" s="264">
        <v>1</v>
      </c>
      <c r="R111" s="264">
        <v>17</v>
      </c>
      <c r="S111" s="732">
        <v>0</v>
      </c>
      <c r="T111" s="743">
        <v>0</v>
      </c>
      <c r="U111" s="732">
        <v>0</v>
      </c>
      <c r="V111" s="743">
        <v>0</v>
      </c>
      <c r="W111" s="732">
        <v>0</v>
      </c>
      <c r="X111" s="743">
        <v>0</v>
      </c>
      <c r="Y111" s="846">
        <f t="shared" si="41"/>
        <v>0</v>
      </c>
      <c r="Z111" s="847">
        <f t="shared" si="42"/>
        <v>0</v>
      </c>
      <c r="AA111" s="730"/>
      <c r="AB111" s="731"/>
      <c r="AC111" s="736">
        <v>0</v>
      </c>
      <c r="AD111" s="733">
        <f t="shared" si="43"/>
      </c>
      <c r="AE111" s="747">
        <f t="shared" si="34"/>
        <v>950.5</v>
      </c>
      <c r="AF111" s="748">
        <f t="shared" si="35"/>
        <v>190</v>
      </c>
      <c r="AG111" s="764">
        <v>950.5</v>
      </c>
      <c r="AH111" s="765">
        <v>190</v>
      </c>
      <c r="AI111" s="751">
        <f t="shared" si="36"/>
        <v>0</v>
      </c>
      <c r="AJ111" s="751">
        <f t="shared" si="37"/>
        <v>1</v>
      </c>
      <c r="AK111" s="748">
        <f t="shared" si="38"/>
        <v>190</v>
      </c>
      <c r="AL111" s="752">
        <f t="shared" si="39"/>
        <v>5.002631578947368</v>
      </c>
      <c r="AM111" s="753"/>
      <c r="AN111" s="751"/>
      <c r="AO111" s="497">
        <f>12563.75+2983.5+2680+354+641+412+470+299+1405.5+1335+741+1188+1188+2138.5+2851+594+430+950.5</f>
        <v>33224.75</v>
      </c>
      <c r="AP111" s="498">
        <f>1693+350+279+68+81+51+66+35+228+169+92+297+297+535+715+149+188+190</f>
        <v>5483</v>
      </c>
      <c r="AQ111" s="768">
        <f t="shared" si="40"/>
        <v>6.059593288345796</v>
      </c>
      <c r="AR111" s="316">
        <v>40949</v>
      </c>
      <c r="AS111" s="509" t="s">
        <v>568</v>
      </c>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row>
    <row r="112" spans="1:102" s="344" customFormat="1" ht="15.75" hidden="1">
      <c r="A112" s="368" t="s">
        <v>594</v>
      </c>
      <c r="B112" s="348"/>
      <c r="C112" s="352" t="s">
        <v>261</v>
      </c>
      <c r="D112" s="349"/>
      <c r="E112" s="349"/>
      <c r="F112" s="349"/>
      <c r="G112" s="349"/>
      <c r="H112" s="350"/>
      <c r="I112" s="353" t="s">
        <v>54</v>
      </c>
      <c r="J112" s="211" t="s">
        <v>398</v>
      </c>
      <c r="K112" s="63" t="s">
        <v>218</v>
      </c>
      <c r="L112" s="63"/>
      <c r="M112" s="63" t="s">
        <v>398</v>
      </c>
      <c r="N112" s="225">
        <v>40627</v>
      </c>
      <c r="O112" s="64" t="s">
        <v>68</v>
      </c>
      <c r="P112" s="263">
        <v>137</v>
      </c>
      <c r="Q112" s="264">
        <v>1</v>
      </c>
      <c r="R112" s="264">
        <v>25</v>
      </c>
      <c r="S112" s="732">
        <v>0</v>
      </c>
      <c r="T112" s="743">
        <v>0</v>
      </c>
      <c r="U112" s="732">
        <v>0</v>
      </c>
      <c r="V112" s="743">
        <v>0</v>
      </c>
      <c r="W112" s="732">
        <v>0</v>
      </c>
      <c r="X112" s="743">
        <v>0</v>
      </c>
      <c r="Y112" s="846">
        <f t="shared" si="41"/>
        <v>0</v>
      </c>
      <c r="Z112" s="847">
        <f t="shared" si="42"/>
        <v>0</v>
      </c>
      <c r="AA112" s="730">
        <f>IF(Y112&lt;&gt;0,Z112/Q112,"")</f>
      </c>
      <c r="AB112" s="731">
        <f>IF(Y112&lt;&gt;0,Y112/Z112,"")</f>
      </c>
      <c r="AC112" s="736">
        <v>0</v>
      </c>
      <c r="AD112" s="733">
        <f t="shared" si="43"/>
      </c>
      <c r="AE112" s="747">
        <f t="shared" si="34"/>
        <v>950</v>
      </c>
      <c r="AF112" s="748">
        <f t="shared" si="35"/>
        <v>190</v>
      </c>
      <c r="AG112" s="764">
        <v>950</v>
      </c>
      <c r="AH112" s="765">
        <v>190</v>
      </c>
      <c r="AI112" s="751">
        <f t="shared" si="36"/>
        <v>0</v>
      </c>
      <c r="AJ112" s="751">
        <f t="shared" si="37"/>
        <v>1</v>
      </c>
      <c r="AK112" s="748">
        <f t="shared" si="38"/>
        <v>190</v>
      </c>
      <c r="AL112" s="752">
        <f t="shared" si="39"/>
        <v>5</v>
      </c>
      <c r="AM112" s="753"/>
      <c r="AN112" s="751">
        <f>IF(AM112&lt;&gt;0,-(AM112-AG112)/AM112,"")</f>
      </c>
      <c r="AO112" s="497">
        <f>1066061.5+1061275+813239.75+606216+468367.5+266511+137274.5+89937.5+9478+4671.5+2215.5+593.5+2273.5+2234+1858+10514.5+2603+2122+2001+349+713+2613.5+475.5+3801.5+950</f>
        <v>4558349.75</v>
      </c>
      <c r="AP112" s="498">
        <f>110278+106719+82858+62672+50883+32012+17904+13463+1427+637+352+91+261+268+240+2410+402+325+272+26+178+653+109+950+190</f>
        <v>485580</v>
      </c>
      <c r="AQ112" s="768">
        <f t="shared" si="40"/>
        <v>9.387433069731044</v>
      </c>
      <c r="AR112" s="316">
        <v>40949</v>
      </c>
      <c r="AS112" s="509" t="s">
        <v>569</v>
      </c>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row>
    <row r="113" spans="1:102" s="344" customFormat="1" ht="15.75" hidden="1">
      <c r="A113" s="368" t="s">
        <v>595</v>
      </c>
      <c r="B113" s="348"/>
      <c r="C113" s="352" t="s">
        <v>261</v>
      </c>
      <c r="D113" s="349"/>
      <c r="E113" s="355"/>
      <c r="F113" s="349"/>
      <c r="G113" s="349"/>
      <c r="H113" s="350"/>
      <c r="I113" s="353" t="s">
        <v>54</v>
      </c>
      <c r="J113" s="211" t="s">
        <v>698</v>
      </c>
      <c r="K113" s="63" t="s">
        <v>704</v>
      </c>
      <c r="L113" s="65"/>
      <c r="M113" s="63" t="s">
        <v>698</v>
      </c>
      <c r="N113" s="225">
        <v>40620</v>
      </c>
      <c r="O113" s="64" t="s">
        <v>68</v>
      </c>
      <c r="P113" s="263">
        <v>18</v>
      </c>
      <c r="Q113" s="264">
        <v>1</v>
      </c>
      <c r="R113" s="264">
        <v>13</v>
      </c>
      <c r="S113" s="732">
        <v>0</v>
      </c>
      <c r="T113" s="743">
        <v>0</v>
      </c>
      <c r="U113" s="732">
        <v>0</v>
      </c>
      <c r="V113" s="743">
        <v>0</v>
      </c>
      <c r="W113" s="732">
        <v>0</v>
      </c>
      <c r="X113" s="743">
        <v>0</v>
      </c>
      <c r="Y113" s="846">
        <f t="shared" si="41"/>
        <v>0</v>
      </c>
      <c r="Z113" s="847">
        <f t="shared" si="42"/>
        <v>0</v>
      </c>
      <c r="AA113" s="730"/>
      <c r="AB113" s="731"/>
      <c r="AC113" s="736">
        <v>0</v>
      </c>
      <c r="AD113" s="733">
        <f t="shared" si="43"/>
      </c>
      <c r="AE113" s="747">
        <f t="shared" si="34"/>
        <v>713</v>
      </c>
      <c r="AF113" s="748">
        <f t="shared" si="35"/>
        <v>143</v>
      </c>
      <c r="AG113" s="764">
        <v>713</v>
      </c>
      <c r="AH113" s="765">
        <v>143</v>
      </c>
      <c r="AI113" s="751">
        <f t="shared" si="36"/>
        <v>0</v>
      </c>
      <c r="AJ113" s="751">
        <f t="shared" si="37"/>
        <v>1</v>
      </c>
      <c r="AK113" s="748">
        <f t="shared" si="38"/>
        <v>143</v>
      </c>
      <c r="AL113" s="752">
        <f t="shared" si="39"/>
        <v>4.986013986013986</v>
      </c>
      <c r="AM113" s="753"/>
      <c r="AN113" s="751"/>
      <c r="AO113" s="497">
        <f>39453.5+44225+30459.5+23462+13989+8982.5+6844+2370+4120+2588+1886+275+713</f>
        <v>179367.5</v>
      </c>
      <c r="AP113" s="498">
        <f>5345+6302+4080+3427+1964+1106+1298+366+730+571+456+44+143</f>
        <v>25832</v>
      </c>
      <c r="AQ113" s="768">
        <f t="shared" si="40"/>
        <v>6.943616444719727</v>
      </c>
      <c r="AR113" s="316">
        <v>40949</v>
      </c>
      <c r="AS113" s="509" t="s">
        <v>572</v>
      </c>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row>
    <row r="114" spans="1:102" s="344" customFormat="1" ht="15.75" hidden="1">
      <c r="A114" s="368" t="s">
        <v>596</v>
      </c>
      <c r="B114" s="348"/>
      <c r="C114" s="352" t="s">
        <v>261</v>
      </c>
      <c r="D114" s="349"/>
      <c r="E114" s="349"/>
      <c r="F114" s="349"/>
      <c r="G114" s="349"/>
      <c r="H114" s="350"/>
      <c r="I114" s="353" t="s">
        <v>54</v>
      </c>
      <c r="J114" s="211" t="s">
        <v>356</v>
      </c>
      <c r="K114" s="63" t="s">
        <v>366</v>
      </c>
      <c r="L114" s="65"/>
      <c r="M114" s="63" t="s">
        <v>356</v>
      </c>
      <c r="N114" s="225">
        <v>40795</v>
      </c>
      <c r="O114" s="64" t="s">
        <v>68</v>
      </c>
      <c r="P114" s="263">
        <v>3</v>
      </c>
      <c r="Q114" s="264">
        <v>1</v>
      </c>
      <c r="R114" s="264">
        <v>8</v>
      </c>
      <c r="S114" s="732"/>
      <c r="T114" s="743"/>
      <c r="U114" s="732"/>
      <c r="V114" s="743"/>
      <c r="W114" s="732"/>
      <c r="X114" s="743"/>
      <c r="Y114" s="846">
        <f t="shared" si="41"/>
        <v>0</v>
      </c>
      <c r="Z114" s="847">
        <f t="shared" si="42"/>
        <v>0</v>
      </c>
      <c r="AA114" s="730">
        <f aca="true" t="shared" si="44" ref="AA114:AA123">IF(Y114&lt;&gt;0,Z114/Q114,"")</f>
      </c>
      <c r="AB114" s="731">
        <f aca="true" t="shared" si="45" ref="AB114:AB123">IF(Y114&lt;&gt;0,Y114/Z114,"")</f>
      </c>
      <c r="AC114" s="736">
        <v>0</v>
      </c>
      <c r="AD114" s="733">
        <f t="shared" si="43"/>
      </c>
      <c r="AE114" s="747">
        <f t="shared" si="34"/>
        <v>713</v>
      </c>
      <c r="AF114" s="748">
        <f t="shared" si="35"/>
        <v>143</v>
      </c>
      <c r="AG114" s="764">
        <v>713</v>
      </c>
      <c r="AH114" s="765">
        <v>143</v>
      </c>
      <c r="AI114" s="751">
        <f t="shared" si="36"/>
        <v>0</v>
      </c>
      <c r="AJ114" s="751">
        <f t="shared" si="37"/>
        <v>1</v>
      </c>
      <c r="AK114" s="748">
        <f t="shared" si="38"/>
        <v>143</v>
      </c>
      <c r="AL114" s="752">
        <f t="shared" si="39"/>
        <v>4.986013986013986</v>
      </c>
      <c r="AM114" s="753">
        <v>1782</v>
      </c>
      <c r="AN114" s="751">
        <f>IF(AM114&lt;&gt;0,-(AM114-AG114)/AM114,"")</f>
        <v>-0.5998877665544332</v>
      </c>
      <c r="AO114" s="497">
        <f>4125+2511+398+1048+854+482+594+1782+713</f>
        <v>12507</v>
      </c>
      <c r="AP114" s="498">
        <f>422+287+52+100+134+61+149+446+143</f>
        <v>1794</v>
      </c>
      <c r="AQ114" s="768">
        <f t="shared" si="40"/>
        <v>6.971571906354515</v>
      </c>
      <c r="AR114" s="316">
        <v>40949</v>
      </c>
      <c r="AS114" s="509" t="s">
        <v>573</v>
      </c>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row>
    <row r="115" spans="1:102" s="344" customFormat="1" ht="15.75" hidden="1">
      <c r="A115" s="368" t="s">
        <v>597</v>
      </c>
      <c r="B115" s="776"/>
      <c r="C115" s="444" t="s">
        <v>261</v>
      </c>
      <c r="D115" s="442" t="s">
        <v>223</v>
      </c>
      <c r="E115" s="450"/>
      <c r="F115" s="440"/>
      <c r="G115" s="450"/>
      <c r="H115" s="441"/>
      <c r="I115" s="441"/>
      <c r="J115" s="207" t="s">
        <v>336</v>
      </c>
      <c r="K115" s="66" t="s">
        <v>350</v>
      </c>
      <c r="L115" s="61" t="s">
        <v>138</v>
      </c>
      <c r="M115" s="66" t="s">
        <v>340</v>
      </c>
      <c r="N115" s="225">
        <v>39472</v>
      </c>
      <c r="O115" s="64" t="s">
        <v>53</v>
      </c>
      <c r="P115" s="280">
        <v>59</v>
      </c>
      <c r="Q115" s="281">
        <v>1</v>
      </c>
      <c r="R115" s="281">
        <v>43</v>
      </c>
      <c r="S115" s="741">
        <v>402</v>
      </c>
      <c r="T115" s="742">
        <v>80</v>
      </c>
      <c r="U115" s="741">
        <v>1000</v>
      </c>
      <c r="V115" s="742">
        <v>200</v>
      </c>
      <c r="W115" s="741">
        <v>1000</v>
      </c>
      <c r="X115" s="742">
        <v>200</v>
      </c>
      <c r="Y115" s="846">
        <f t="shared" si="41"/>
        <v>2402</v>
      </c>
      <c r="Z115" s="847">
        <f t="shared" si="42"/>
        <v>480</v>
      </c>
      <c r="AA115" s="730">
        <f t="shared" si="44"/>
        <v>480</v>
      </c>
      <c r="AB115" s="731">
        <f t="shared" si="45"/>
        <v>5.004166666666666</v>
      </c>
      <c r="AC115" s="736">
        <v>2402</v>
      </c>
      <c r="AD115" s="733">
        <f t="shared" si="43"/>
        <v>0</v>
      </c>
      <c r="AE115" s="747">
        <f t="shared" si="34"/>
        <v>0</v>
      </c>
      <c r="AF115" s="748">
        <f t="shared" si="35"/>
        <v>0</v>
      </c>
      <c r="AG115" s="756">
        <v>2402</v>
      </c>
      <c r="AH115" s="757">
        <v>480</v>
      </c>
      <c r="AI115" s="751">
        <f t="shared" si="36"/>
        <v>1</v>
      </c>
      <c r="AJ115" s="751">
        <f t="shared" si="37"/>
        <v>0</v>
      </c>
      <c r="AK115" s="748">
        <f t="shared" si="38"/>
        <v>480</v>
      </c>
      <c r="AL115" s="752">
        <f t="shared" si="39"/>
        <v>5.004166666666666</v>
      </c>
      <c r="AM115" s="758">
        <v>1802</v>
      </c>
      <c r="AN115" s="751">
        <f>IF(AM115&lt;&gt;0,-(AM115-AG115)/AM115,"")</f>
        <v>0.33296337402885684</v>
      </c>
      <c r="AO115" s="268">
        <f>395290.5+262822+75939+23709.5+4083+1327+9321+1445+1267+2173+4575+201+1748+3343+728+28+948+1329+163+182+173+15521.5+171+40+110+75+183.5+127+124.5+1976+312+180+12+2398+1799+1799+1799+3598+1201+1802+2402</f>
        <v>826425.5</v>
      </c>
      <c r="AP115" s="269">
        <f>47426+32442+9866+4010+887+225+2185+263+226+460+1077+33+367+887+230+4+139+355+32+35+32+3859+49+8+22+15+68+46+45+659+52+30+2+399+300+300+300+600+240+360+480</f>
        <v>109015</v>
      </c>
      <c r="AQ115" s="768">
        <f t="shared" si="40"/>
        <v>7.580842085951475</v>
      </c>
      <c r="AR115" s="316">
        <v>40942</v>
      </c>
      <c r="AS115" s="509" t="s">
        <v>349</v>
      </c>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row>
    <row r="116" spans="1:102" s="344" customFormat="1" ht="15.75" hidden="1">
      <c r="A116" s="368" t="s">
        <v>598</v>
      </c>
      <c r="B116" s="348"/>
      <c r="C116" s="444" t="s">
        <v>261</v>
      </c>
      <c r="D116" s="448"/>
      <c r="E116" s="448"/>
      <c r="F116" s="440"/>
      <c r="G116" s="448"/>
      <c r="H116" s="441"/>
      <c r="I116" s="445" t="s">
        <v>54</v>
      </c>
      <c r="J116" s="215" t="s">
        <v>120</v>
      </c>
      <c r="K116" s="61" t="s">
        <v>122</v>
      </c>
      <c r="L116" s="64"/>
      <c r="M116" s="64" t="s">
        <v>120</v>
      </c>
      <c r="N116" s="225">
        <v>40886</v>
      </c>
      <c r="O116" s="64" t="s">
        <v>121</v>
      </c>
      <c r="P116" s="263">
        <v>82</v>
      </c>
      <c r="Q116" s="277">
        <v>3</v>
      </c>
      <c r="R116" s="277">
        <v>9</v>
      </c>
      <c r="S116" s="734">
        <v>141</v>
      </c>
      <c r="T116" s="735">
        <v>21</v>
      </c>
      <c r="U116" s="734">
        <v>197</v>
      </c>
      <c r="V116" s="735">
        <v>31</v>
      </c>
      <c r="W116" s="734">
        <v>330</v>
      </c>
      <c r="X116" s="735">
        <v>52</v>
      </c>
      <c r="Y116" s="846">
        <f t="shared" si="41"/>
        <v>668</v>
      </c>
      <c r="Z116" s="847">
        <f t="shared" si="42"/>
        <v>104</v>
      </c>
      <c r="AA116" s="730">
        <f t="shared" si="44"/>
        <v>34.666666666666664</v>
      </c>
      <c r="AB116" s="731">
        <f t="shared" si="45"/>
        <v>6.423076923076923</v>
      </c>
      <c r="AC116" s="732">
        <v>668</v>
      </c>
      <c r="AD116" s="733">
        <f t="shared" si="43"/>
        <v>0</v>
      </c>
      <c r="AE116" s="747">
        <f t="shared" si="34"/>
        <v>274</v>
      </c>
      <c r="AF116" s="748">
        <f t="shared" si="35"/>
        <v>42</v>
      </c>
      <c r="AG116" s="754">
        <v>942</v>
      </c>
      <c r="AH116" s="755">
        <v>146</v>
      </c>
      <c r="AI116" s="751">
        <f t="shared" si="36"/>
        <v>0.7123287671232876</v>
      </c>
      <c r="AJ116" s="751">
        <f t="shared" si="37"/>
        <v>0.2876712328767123</v>
      </c>
      <c r="AK116" s="748">
        <f t="shared" si="38"/>
        <v>48.666666666666664</v>
      </c>
      <c r="AL116" s="752">
        <f t="shared" si="39"/>
        <v>6.4520547945205475</v>
      </c>
      <c r="AM116" s="753">
        <v>470</v>
      </c>
      <c r="AN116" s="751">
        <f>IF(AM116&lt;&gt;0,-(AM116-AG116)/AM116,"")</f>
        <v>1.004255319148936</v>
      </c>
      <c r="AO116" s="769">
        <v>647111.9</v>
      </c>
      <c r="AP116" s="770">
        <v>74704</v>
      </c>
      <c r="AQ116" s="768">
        <f t="shared" si="40"/>
        <v>8.6623460591133</v>
      </c>
      <c r="AR116" s="316">
        <v>40942</v>
      </c>
      <c r="AS116" s="509" t="s">
        <v>349</v>
      </c>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row>
    <row r="117" spans="1:102" s="344" customFormat="1" ht="15.75" hidden="1">
      <c r="A117" s="368" t="s">
        <v>599</v>
      </c>
      <c r="B117" s="348"/>
      <c r="C117" s="444" t="s">
        <v>261</v>
      </c>
      <c r="D117" s="440"/>
      <c r="E117" s="440"/>
      <c r="F117" s="440"/>
      <c r="G117" s="440"/>
      <c r="H117" s="441"/>
      <c r="I117" s="445" t="s">
        <v>54</v>
      </c>
      <c r="J117" s="215" t="s">
        <v>649</v>
      </c>
      <c r="K117" s="64" t="s">
        <v>650</v>
      </c>
      <c r="L117" s="64"/>
      <c r="M117" s="64" t="s">
        <v>649</v>
      </c>
      <c r="N117" s="226">
        <v>40900</v>
      </c>
      <c r="O117" s="64" t="s">
        <v>539</v>
      </c>
      <c r="P117" s="263">
        <v>1</v>
      </c>
      <c r="Q117" s="264">
        <v>1</v>
      </c>
      <c r="R117" s="264">
        <v>3</v>
      </c>
      <c r="S117" s="728">
        <v>33</v>
      </c>
      <c r="T117" s="729">
        <v>11</v>
      </c>
      <c r="U117" s="728">
        <v>300</v>
      </c>
      <c r="V117" s="729">
        <v>100</v>
      </c>
      <c r="W117" s="728">
        <v>300</v>
      </c>
      <c r="X117" s="729">
        <v>100</v>
      </c>
      <c r="Y117" s="846">
        <f t="shared" si="41"/>
        <v>633</v>
      </c>
      <c r="Z117" s="847">
        <f t="shared" si="42"/>
        <v>211</v>
      </c>
      <c r="AA117" s="730">
        <f t="shared" si="44"/>
        <v>211</v>
      </c>
      <c r="AB117" s="731">
        <f t="shared" si="45"/>
        <v>3</v>
      </c>
      <c r="AC117" s="736">
        <v>633</v>
      </c>
      <c r="AD117" s="733">
        <f t="shared" si="43"/>
        <v>0</v>
      </c>
      <c r="AE117" s="747">
        <f t="shared" si="34"/>
        <v>0</v>
      </c>
      <c r="AF117" s="748">
        <f t="shared" si="35"/>
        <v>0</v>
      </c>
      <c r="AG117" s="756">
        <v>633</v>
      </c>
      <c r="AH117" s="757">
        <v>211</v>
      </c>
      <c r="AI117" s="751">
        <f t="shared" si="36"/>
        <v>1</v>
      </c>
      <c r="AJ117" s="751">
        <f t="shared" si="37"/>
        <v>0</v>
      </c>
      <c r="AK117" s="748">
        <f t="shared" si="38"/>
        <v>211</v>
      </c>
      <c r="AL117" s="752">
        <f t="shared" si="39"/>
        <v>3</v>
      </c>
      <c r="AM117" s="758"/>
      <c r="AN117" s="751"/>
      <c r="AO117" s="268">
        <v>4823</v>
      </c>
      <c r="AP117" s="269">
        <v>630</v>
      </c>
      <c r="AQ117" s="768">
        <f t="shared" si="40"/>
        <v>7.655555555555556</v>
      </c>
      <c r="AR117" s="316">
        <v>40942</v>
      </c>
      <c r="AS117" s="509" t="s">
        <v>349</v>
      </c>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row>
    <row r="118" spans="1:102" s="344" customFormat="1" ht="15.75" hidden="1">
      <c r="A118" s="368" t="s">
        <v>600</v>
      </c>
      <c r="B118" s="349"/>
      <c r="C118" s="444" t="s">
        <v>261</v>
      </c>
      <c r="D118" s="446"/>
      <c r="E118" s="440"/>
      <c r="F118" s="440"/>
      <c r="G118" s="443" t="s">
        <v>292</v>
      </c>
      <c r="H118" s="440"/>
      <c r="I118" s="441"/>
      <c r="J118" s="209" t="s">
        <v>385</v>
      </c>
      <c r="K118" s="61" t="s">
        <v>83</v>
      </c>
      <c r="L118" s="68" t="s">
        <v>94</v>
      </c>
      <c r="M118" s="68" t="s">
        <v>390</v>
      </c>
      <c r="N118" s="225">
        <v>40844</v>
      </c>
      <c r="O118" s="64" t="s">
        <v>12</v>
      </c>
      <c r="P118" s="263">
        <v>41</v>
      </c>
      <c r="Q118" s="264">
        <v>1</v>
      </c>
      <c r="R118" s="264">
        <v>14</v>
      </c>
      <c r="S118" s="741">
        <v>0</v>
      </c>
      <c r="T118" s="742">
        <v>0</v>
      </c>
      <c r="U118" s="741">
        <v>54</v>
      </c>
      <c r="V118" s="742">
        <v>7</v>
      </c>
      <c r="W118" s="741">
        <v>50</v>
      </c>
      <c r="X118" s="742">
        <v>6</v>
      </c>
      <c r="Y118" s="846">
        <f t="shared" si="41"/>
        <v>104</v>
      </c>
      <c r="Z118" s="847">
        <f t="shared" si="42"/>
        <v>13</v>
      </c>
      <c r="AA118" s="730">
        <f t="shared" si="44"/>
        <v>13</v>
      </c>
      <c r="AB118" s="731">
        <f t="shared" si="45"/>
        <v>8</v>
      </c>
      <c r="AC118" s="736">
        <v>104</v>
      </c>
      <c r="AD118" s="733">
        <f t="shared" si="43"/>
        <v>0</v>
      </c>
      <c r="AE118" s="747">
        <f t="shared" si="34"/>
        <v>32</v>
      </c>
      <c r="AF118" s="748">
        <f t="shared" si="35"/>
        <v>4</v>
      </c>
      <c r="AG118" s="756">
        <v>136</v>
      </c>
      <c r="AH118" s="757">
        <v>17</v>
      </c>
      <c r="AI118" s="751">
        <f t="shared" si="36"/>
        <v>0.7647058823529411</v>
      </c>
      <c r="AJ118" s="751">
        <f t="shared" si="37"/>
        <v>0.23529411764705882</v>
      </c>
      <c r="AK118" s="748">
        <f t="shared" si="38"/>
        <v>17</v>
      </c>
      <c r="AL118" s="752">
        <f t="shared" si="39"/>
        <v>8</v>
      </c>
      <c r="AM118" s="758">
        <v>1678</v>
      </c>
      <c r="AN118" s="751">
        <f aca="true" t="shared" si="46" ref="AN118:AN123">IF(AM118&lt;&gt;0,-(AM118-AG118)/AM118,"")</f>
        <v>-0.9189511323003575</v>
      </c>
      <c r="AO118" s="268">
        <v>515067</v>
      </c>
      <c r="AP118" s="269">
        <v>42355</v>
      </c>
      <c r="AQ118" s="768">
        <f t="shared" si="40"/>
        <v>12.160713020894818</v>
      </c>
      <c r="AR118" s="316">
        <v>40942</v>
      </c>
      <c r="AS118" s="509" t="s">
        <v>349</v>
      </c>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row>
    <row r="119" spans="1:102" s="344" customFormat="1" ht="15.75" hidden="1">
      <c r="A119" s="368" t="s">
        <v>601</v>
      </c>
      <c r="B119" s="778"/>
      <c r="C119" s="444" t="s">
        <v>261</v>
      </c>
      <c r="D119" s="442" t="s">
        <v>223</v>
      </c>
      <c r="E119" s="779">
        <v>3</v>
      </c>
      <c r="F119" s="440"/>
      <c r="G119" s="440"/>
      <c r="H119" s="780" t="s">
        <v>55</v>
      </c>
      <c r="I119" s="441"/>
      <c r="J119" s="207" t="s">
        <v>559</v>
      </c>
      <c r="K119" s="61" t="s">
        <v>560</v>
      </c>
      <c r="L119" s="66" t="s">
        <v>561</v>
      </c>
      <c r="M119" s="66" t="s">
        <v>562</v>
      </c>
      <c r="N119" s="225">
        <v>40669</v>
      </c>
      <c r="O119" s="64" t="s">
        <v>8</v>
      </c>
      <c r="P119" s="781">
        <v>51</v>
      </c>
      <c r="Q119" s="273">
        <v>1</v>
      </c>
      <c r="R119" s="273">
        <v>25</v>
      </c>
      <c r="S119" s="734">
        <v>18</v>
      </c>
      <c r="T119" s="735">
        <v>2</v>
      </c>
      <c r="U119" s="734">
        <v>18</v>
      </c>
      <c r="V119" s="735">
        <v>2</v>
      </c>
      <c r="W119" s="734">
        <v>0</v>
      </c>
      <c r="X119" s="735">
        <v>0</v>
      </c>
      <c r="Y119" s="846">
        <f t="shared" si="41"/>
        <v>36</v>
      </c>
      <c r="Z119" s="847">
        <f t="shared" si="42"/>
        <v>4</v>
      </c>
      <c r="AA119" s="730">
        <f t="shared" si="44"/>
        <v>4</v>
      </c>
      <c r="AB119" s="731">
        <f t="shared" si="45"/>
        <v>9</v>
      </c>
      <c r="AC119" s="746">
        <v>36</v>
      </c>
      <c r="AD119" s="733">
        <f t="shared" si="43"/>
        <v>0</v>
      </c>
      <c r="AE119" s="747">
        <f aca="true" t="shared" si="47" ref="AE119:AE150">AG119-Y119</f>
        <v>10</v>
      </c>
      <c r="AF119" s="748">
        <f aca="true" t="shared" si="48" ref="AF119:AF150">AH119-Z119</f>
        <v>2</v>
      </c>
      <c r="AG119" s="762">
        <v>46</v>
      </c>
      <c r="AH119" s="763">
        <v>6</v>
      </c>
      <c r="AI119" s="751">
        <f aca="true" t="shared" si="49" ref="AI119:AI150">Z119*1/AH119</f>
        <v>0.6666666666666666</v>
      </c>
      <c r="AJ119" s="751">
        <f aca="true" t="shared" si="50" ref="AJ119:AJ150">AF119*1/AH119</f>
        <v>0.3333333333333333</v>
      </c>
      <c r="AK119" s="748">
        <f aca="true" t="shared" si="51" ref="AK119:AK150">AH119/Q119</f>
        <v>6</v>
      </c>
      <c r="AL119" s="752">
        <f aca="true" t="shared" si="52" ref="AL119:AL150">AG119/AH119</f>
        <v>7.666666666666667</v>
      </c>
      <c r="AM119" s="753">
        <v>129</v>
      </c>
      <c r="AN119" s="751">
        <f t="shared" si="46"/>
        <v>-0.6434108527131783</v>
      </c>
      <c r="AO119" s="774">
        <v>479104</v>
      </c>
      <c r="AP119" s="775">
        <v>49180</v>
      </c>
      <c r="AQ119" s="768">
        <f t="shared" si="40"/>
        <v>9.741846278975194</v>
      </c>
      <c r="AR119" s="316">
        <v>40942</v>
      </c>
      <c r="AS119" s="509" t="s">
        <v>349</v>
      </c>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row>
    <row r="120" spans="1:102" s="344" customFormat="1" ht="15.75" hidden="1">
      <c r="A120" s="368" t="s">
        <v>602</v>
      </c>
      <c r="B120" s="777"/>
      <c r="C120" s="352" t="s">
        <v>261</v>
      </c>
      <c r="D120" s="369"/>
      <c r="E120" s="369"/>
      <c r="F120" s="349"/>
      <c r="G120" s="369"/>
      <c r="H120" s="370"/>
      <c r="I120" s="350"/>
      <c r="J120" s="214" t="s">
        <v>137</v>
      </c>
      <c r="K120" s="61" t="s">
        <v>140</v>
      </c>
      <c r="L120" s="61" t="s">
        <v>138</v>
      </c>
      <c r="M120" s="61" t="s">
        <v>139</v>
      </c>
      <c r="N120" s="225">
        <v>40893</v>
      </c>
      <c r="O120" s="64" t="s">
        <v>53</v>
      </c>
      <c r="P120" s="263">
        <v>28</v>
      </c>
      <c r="Q120" s="281">
        <v>1</v>
      </c>
      <c r="R120" s="281">
        <v>7</v>
      </c>
      <c r="S120" s="741">
        <v>0</v>
      </c>
      <c r="T120" s="742">
        <v>0</v>
      </c>
      <c r="U120" s="741">
        <v>0</v>
      </c>
      <c r="V120" s="742">
        <v>0</v>
      </c>
      <c r="W120" s="741">
        <v>0</v>
      </c>
      <c r="X120" s="742">
        <v>0</v>
      </c>
      <c r="Y120" s="846">
        <f t="shared" si="41"/>
        <v>0</v>
      </c>
      <c r="Z120" s="847">
        <f t="shared" si="42"/>
        <v>0</v>
      </c>
      <c r="AA120" s="730">
        <f t="shared" si="44"/>
      </c>
      <c r="AB120" s="731">
        <f t="shared" si="45"/>
      </c>
      <c r="AC120" s="736">
        <v>0</v>
      </c>
      <c r="AD120" s="733">
        <f t="shared" si="43"/>
      </c>
      <c r="AE120" s="747">
        <f t="shared" si="47"/>
        <v>314</v>
      </c>
      <c r="AF120" s="748">
        <f t="shared" si="48"/>
        <v>39</v>
      </c>
      <c r="AG120" s="756">
        <v>314</v>
      </c>
      <c r="AH120" s="757">
        <v>39</v>
      </c>
      <c r="AI120" s="751">
        <f t="shared" si="49"/>
        <v>0</v>
      </c>
      <c r="AJ120" s="751">
        <f t="shared" si="50"/>
        <v>1</v>
      </c>
      <c r="AK120" s="748">
        <f t="shared" si="51"/>
        <v>39</v>
      </c>
      <c r="AL120" s="752">
        <f t="shared" si="52"/>
        <v>8.051282051282051</v>
      </c>
      <c r="AM120" s="758">
        <v>4853.5</v>
      </c>
      <c r="AN120" s="751">
        <f t="shared" si="46"/>
        <v>-0.9353044194910889</v>
      </c>
      <c r="AO120" s="268">
        <f>152692.5+78009+19211+5878+4853.5+4764+314</f>
        <v>265722</v>
      </c>
      <c r="AP120" s="269">
        <f>12107+6230+2152+592+575+535+39</f>
        <v>22230</v>
      </c>
      <c r="AQ120" s="768">
        <f t="shared" si="40"/>
        <v>11.953306342780026</v>
      </c>
      <c r="AR120" s="316">
        <v>40942</v>
      </c>
      <c r="AS120" s="509" t="s">
        <v>349</v>
      </c>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row>
    <row r="121" spans="1:102" s="344" customFormat="1" ht="15.75" hidden="1">
      <c r="A121" s="368" t="s">
        <v>603</v>
      </c>
      <c r="B121" s="348"/>
      <c r="C121" s="352" t="s">
        <v>261</v>
      </c>
      <c r="D121" s="349"/>
      <c r="E121" s="349"/>
      <c r="F121" s="349"/>
      <c r="G121" s="349"/>
      <c r="H121" s="350"/>
      <c r="I121" s="351"/>
      <c r="J121" s="211" t="s">
        <v>550</v>
      </c>
      <c r="K121" s="63" t="s">
        <v>551</v>
      </c>
      <c r="L121" s="65" t="s">
        <v>128</v>
      </c>
      <c r="M121" s="63" t="s">
        <v>552</v>
      </c>
      <c r="N121" s="225">
        <v>40683</v>
      </c>
      <c r="O121" s="64" t="s">
        <v>68</v>
      </c>
      <c r="P121" s="263">
        <v>6</v>
      </c>
      <c r="Q121" s="264">
        <v>1</v>
      </c>
      <c r="R121" s="264">
        <v>21</v>
      </c>
      <c r="S121" s="732">
        <v>0</v>
      </c>
      <c r="T121" s="743">
        <v>0</v>
      </c>
      <c r="U121" s="732">
        <v>0</v>
      </c>
      <c r="V121" s="743">
        <v>0</v>
      </c>
      <c r="W121" s="732">
        <v>0</v>
      </c>
      <c r="X121" s="743">
        <v>0</v>
      </c>
      <c r="Y121" s="846">
        <f t="shared" si="41"/>
        <v>0</v>
      </c>
      <c r="Z121" s="847">
        <f t="shared" si="42"/>
        <v>0</v>
      </c>
      <c r="AA121" s="730">
        <f t="shared" si="44"/>
      </c>
      <c r="AB121" s="731">
        <f t="shared" si="45"/>
      </c>
      <c r="AC121" s="736">
        <v>0</v>
      </c>
      <c r="AD121" s="733">
        <f t="shared" si="43"/>
      </c>
      <c r="AE121" s="747">
        <f t="shared" si="47"/>
        <v>3801.5</v>
      </c>
      <c r="AF121" s="748">
        <f t="shared" si="48"/>
        <v>760</v>
      </c>
      <c r="AG121" s="764">
        <v>3801.5</v>
      </c>
      <c r="AH121" s="765">
        <v>760</v>
      </c>
      <c r="AI121" s="751">
        <f t="shared" si="49"/>
        <v>0</v>
      </c>
      <c r="AJ121" s="751">
        <f t="shared" si="50"/>
        <v>1</v>
      </c>
      <c r="AK121" s="748">
        <f t="shared" si="51"/>
        <v>760</v>
      </c>
      <c r="AL121" s="752">
        <f t="shared" si="52"/>
        <v>5.001973684210526</v>
      </c>
      <c r="AM121" s="753"/>
      <c r="AN121" s="751">
        <f t="shared" si="46"/>
      </c>
      <c r="AO121" s="497">
        <f>16905.5+10044+3710+2342+9911.5+7248+6024+1678+1960+374+2139+2655.5+2562+447+1328+1270+869+1782+475+25+3801.5</f>
        <v>77551</v>
      </c>
      <c r="AP121" s="498">
        <f>1241+811+837+224+905+1125+738+283+277+57+267+346+338+61+166+189+146+446+119+5+760</f>
        <v>9341</v>
      </c>
      <c r="AQ121" s="768">
        <f t="shared" si="40"/>
        <v>8.302216036826891</v>
      </c>
      <c r="AR121" s="316">
        <v>40942</v>
      </c>
      <c r="AS121" s="509" t="s">
        <v>349</v>
      </c>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row>
    <row r="122" spans="1:102" s="344" customFormat="1" ht="15.75" hidden="1">
      <c r="A122" s="368" t="s">
        <v>604</v>
      </c>
      <c r="B122" s="348"/>
      <c r="C122" s="352" t="s">
        <v>261</v>
      </c>
      <c r="D122" s="361" t="s">
        <v>223</v>
      </c>
      <c r="E122" s="349"/>
      <c r="F122" s="369"/>
      <c r="G122" s="360" t="s">
        <v>292</v>
      </c>
      <c r="H122" s="354" t="s">
        <v>55</v>
      </c>
      <c r="I122" s="351"/>
      <c r="J122" s="211" t="s">
        <v>441</v>
      </c>
      <c r="K122" s="63" t="s">
        <v>458</v>
      </c>
      <c r="L122" s="63" t="s">
        <v>89</v>
      </c>
      <c r="M122" s="63" t="s">
        <v>467</v>
      </c>
      <c r="N122" s="225">
        <v>40697</v>
      </c>
      <c r="O122" s="64" t="s">
        <v>68</v>
      </c>
      <c r="P122" s="263">
        <v>71</v>
      </c>
      <c r="Q122" s="264">
        <v>2</v>
      </c>
      <c r="R122" s="264">
        <v>33</v>
      </c>
      <c r="S122" s="732">
        <v>0</v>
      </c>
      <c r="T122" s="743">
        <v>0</v>
      </c>
      <c r="U122" s="732">
        <v>0</v>
      </c>
      <c r="V122" s="743">
        <v>0</v>
      </c>
      <c r="W122" s="732">
        <v>0</v>
      </c>
      <c r="X122" s="743">
        <v>0</v>
      </c>
      <c r="Y122" s="846">
        <f t="shared" si="41"/>
        <v>0</v>
      </c>
      <c r="Z122" s="847">
        <f t="shared" si="42"/>
        <v>0</v>
      </c>
      <c r="AA122" s="730">
        <f t="shared" si="44"/>
      </c>
      <c r="AB122" s="731">
        <f t="shared" si="45"/>
      </c>
      <c r="AC122" s="736">
        <v>0</v>
      </c>
      <c r="AD122" s="733">
        <f t="shared" si="43"/>
      </c>
      <c r="AE122" s="747">
        <f t="shared" si="47"/>
        <v>3008</v>
      </c>
      <c r="AF122" s="748">
        <f t="shared" si="48"/>
        <v>720</v>
      </c>
      <c r="AG122" s="764">
        <v>3008</v>
      </c>
      <c r="AH122" s="765">
        <v>720</v>
      </c>
      <c r="AI122" s="751">
        <f t="shared" si="49"/>
        <v>0</v>
      </c>
      <c r="AJ122" s="751">
        <f t="shared" si="50"/>
        <v>1</v>
      </c>
      <c r="AK122" s="748">
        <f t="shared" si="51"/>
        <v>360</v>
      </c>
      <c r="AL122" s="752">
        <f t="shared" si="52"/>
        <v>4.177777777777778</v>
      </c>
      <c r="AM122" s="753"/>
      <c r="AN122" s="751">
        <f t="shared" si="46"/>
      </c>
      <c r="AO122" s="497">
        <f>204018.5+92011.75+38624.5+27400+22817+12697.5+8373+8455.5+6781+2290+2830+1048+3163+3005+2166+6840+1490+14+6415.5+3721.5+7267.5+3007+701.5+608.5+3931+316+1244+768+1787+1197+7128+1188+3008</f>
        <v>486313.25</v>
      </c>
      <c r="AP122" s="498">
        <f>20915+10991+4900+3855+3433+1986+1329+1415+1032+399+409+237+591+657+312+1653+293+7+1605+687+1458+678+106+95+900+62+202+109+514+390+1783+238+720</f>
        <v>63961</v>
      </c>
      <c r="AQ122" s="768">
        <f t="shared" si="40"/>
        <v>7.603277778646363</v>
      </c>
      <c r="AR122" s="316">
        <v>40942</v>
      </c>
      <c r="AS122" s="509" t="s">
        <v>349</v>
      </c>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row>
    <row r="123" spans="1:102" s="344" customFormat="1" ht="15.75" hidden="1">
      <c r="A123" s="368" t="s">
        <v>605</v>
      </c>
      <c r="B123" s="348"/>
      <c r="C123" s="352" t="s">
        <v>261</v>
      </c>
      <c r="D123" s="361" t="s">
        <v>223</v>
      </c>
      <c r="E123" s="356">
        <v>3</v>
      </c>
      <c r="F123" s="369"/>
      <c r="G123" s="360" t="s">
        <v>292</v>
      </c>
      <c r="H123" s="354" t="s">
        <v>55</v>
      </c>
      <c r="I123" s="351"/>
      <c r="J123" s="211" t="s">
        <v>447</v>
      </c>
      <c r="K123" s="63" t="s">
        <v>461</v>
      </c>
      <c r="L123" s="63" t="s">
        <v>89</v>
      </c>
      <c r="M123" s="63" t="s">
        <v>455</v>
      </c>
      <c r="N123" s="225">
        <v>39995</v>
      </c>
      <c r="O123" s="64" t="s">
        <v>68</v>
      </c>
      <c r="P123" s="263">
        <v>209</v>
      </c>
      <c r="Q123" s="264">
        <v>2</v>
      </c>
      <c r="R123" s="264">
        <v>73</v>
      </c>
      <c r="S123" s="732">
        <v>0</v>
      </c>
      <c r="T123" s="743">
        <v>0</v>
      </c>
      <c r="U123" s="732">
        <v>0</v>
      </c>
      <c r="V123" s="743">
        <v>0</v>
      </c>
      <c r="W123" s="732">
        <v>0</v>
      </c>
      <c r="X123" s="743">
        <v>0</v>
      </c>
      <c r="Y123" s="846">
        <f t="shared" si="41"/>
        <v>0</v>
      </c>
      <c r="Z123" s="847">
        <f t="shared" si="42"/>
        <v>0</v>
      </c>
      <c r="AA123" s="730">
        <f t="shared" si="44"/>
      </c>
      <c r="AB123" s="731">
        <f t="shared" si="45"/>
      </c>
      <c r="AC123" s="736">
        <v>0</v>
      </c>
      <c r="AD123" s="733">
        <f t="shared" si="43"/>
      </c>
      <c r="AE123" s="747">
        <f t="shared" si="47"/>
        <v>2375</v>
      </c>
      <c r="AF123" s="748">
        <f t="shared" si="48"/>
        <v>475</v>
      </c>
      <c r="AG123" s="764">
        <v>2375</v>
      </c>
      <c r="AH123" s="765">
        <v>475</v>
      </c>
      <c r="AI123" s="751">
        <f t="shared" si="49"/>
        <v>0</v>
      </c>
      <c r="AJ123" s="751">
        <f t="shared" si="50"/>
        <v>1</v>
      </c>
      <c r="AK123" s="748">
        <f t="shared" si="51"/>
        <v>237.5</v>
      </c>
      <c r="AL123" s="752">
        <f t="shared" si="52"/>
        <v>5</v>
      </c>
      <c r="AM123" s="753"/>
      <c r="AN123" s="751">
        <f t="shared" si="46"/>
      </c>
      <c r="AO123" s="497">
        <f>11405777.5+385+1188+6614+2968+1417+277+2612+1424+952+1780+952+364.5+1188+1188+2852+3019.5+305+1188+286+1188+2375</f>
        <v>11440300.5</v>
      </c>
      <c r="AP123" s="498">
        <f>1424397+63+297+1638+742+364+66+653+356+238+445+238+27+297+297+713+734+61+297+71+297+475</f>
        <v>1432766</v>
      </c>
      <c r="AQ123" s="768">
        <f t="shared" si="40"/>
        <v>7.984765481592947</v>
      </c>
      <c r="AR123" s="316">
        <v>40942</v>
      </c>
      <c r="AS123" s="509" t="s">
        <v>349</v>
      </c>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row>
    <row r="124" spans="1:102" s="344" customFormat="1" ht="15.75" hidden="1">
      <c r="A124" s="368" t="s">
        <v>606</v>
      </c>
      <c r="B124" s="348"/>
      <c r="C124" s="352" t="s">
        <v>261</v>
      </c>
      <c r="D124" s="349"/>
      <c r="E124" s="349"/>
      <c r="F124" s="349"/>
      <c r="G124" s="349"/>
      <c r="H124" s="350"/>
      <c r="I124" s="350"/>
      <c r="J124" s="211" t="s">
        <v>653</v>
      </c>
      <c r="K124" s="63" t="s">
        <v>659</v>
      </c>
      <c r="L124" s="63" t="s">
        <v>248</v>
      </c>
      <c r="M124" s="63" t="s">
        <v>658</v>
      </c>
      <c r="N124" s="225">
        <v>40473</v>
      </c>
      <c r="O124" s="64" t="s">
        <v>68</v>
      </c>
      <c r="P124" s="263">
        <v>30</v>
      </c>
      <c r="Q124" s="264">
        <v>1</v>
      </c>
      <c r="R124" s="264">
        <v>19</v>
      </c>
      <c r="S124" s="732">
        <v>0</v>
      </c>
      <c r="T124" s="743">
        <v>0</v>
      </c>
      <c r="U124" s="732">
        <v>0</v>
      </c>
      <c r="V124" s="743">
        <v>0</v>
      </c>
      <c r="W124" s="732">
        <v>0</v>
      </c>
      <c r="X124" s="743">
        <v>0</v>
      </c>
      <c r="Y124" s="846">
        <f t="shared" si="41"/>
        <v>0</v>
      </c>
      <c r="Z124" s="847">
        <f t="shared" si="42"/>
        <v>0</v>
      </c>
      <c r="AA124" s="730"/>
      <c r="AB124" s="731"/>
      <c r="AC124" s="736">
        <v>0</v>
      </c>
      <c r="AD124" s="733">
        <f t="shared" si="43"/>
      </c>
      <c r="AE124" s="747">
        <f t="shared" si="47"/>
        <v>2138.5</v>
      </c>
      <c r="AF124" s="748">
        <f t="shared" si="48"/>
        <v>428</v>
      </c>
      <c r="AG124" s="764">
        <v>2138.5</v>
      </c>
      <c r="AH124" s="765">
        <v>428</v>
      </c>
      <c r="AI124" s="751">
        <f t="shared" si="49"/>
        <v>0</v>
      </c>
      <c r="AJ124" s="751">
        <f t="shared" si="50"/>
        <v>1</v>
      </c>
      <c r="AK124" s="748">
        <f t="shared" si="51"/>
        <v>428</v>
      </c>
      <c r="AL124" s="752">
        <f t="shared" si="52"/>
        <v>4.996495327102804</v>
      </c>
      <c r="AM124" s="753"/>
      <c r="AN124" s="751"/>
      <c r="AO124" s="497">
        <f>140269+106844+7979+4849+4700.5+7059+2232+1390+2769+13917+8357+891.5+4704+1307+1076+311+973+4948+2138.5</f>
        <v>316714.5</v>
      </c>
      <c r="AP124" s="498">
        <f>11518+8629+641+577+660+1341+325+348+324+2259+1374+332+506+327+114+46+109+785+428</f>
        <v>30643</v>
      </c>
      <c r="AQ124" s="768">
        <f t="shared" si="40"/>
        <v>10.335623143948046</v>
      </c>
      <c r="AR124" s="316">
        <v>40942</v>
      </c>
      <c r="AS124" s="509" t="s">
        <v>349</v>
      </c>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row>
    <row r="125" spans="1:102" s="344" customFormat="1" ht="15.75" hidden="1">
      <c r="A125" s="368" t="s">
        <v>607</v>
      </c>
      <c r="B125" s="348"/>
      <c r="C125" s="352" t="s">
        <v>261</v>
      </c>
      <c r="D125" s="349"/>
      <c r="E125" s="349"/>
      <c r="F125" s="349"/>
      <c r="G125" s="349"/>
      <c r="H125" s="354" t="s">
        <v>55</v>
      </c>
      <c r="I125" s="351"/>
      <c r="J125" s="211" t="s">
        <v>355</v>
      </c>
      <c r="K125" s="63" t="s">
        <v>365</v>
      </c>
      <c r="L125" s="63" t="s">
        <v>85</v>
      </c>
      <c r="M125" s="63" t="s">
        <v>362</v>
      </c>
      <c r="N125" s="225">
        <v>40347</v>
      </c>
      <c r="O125" s="64" t="s">
        <v>68</v>
      </c>
      <c r="P125" s="263">
        <v>66</v>
      </c>
      <c r="Q125" s="264">
        <v>1</v>
      </c>
      <c r="R125" s="264">
        <v>37</v>
      </c>
      <c r="S125" s="732">
        <v>0</v>
      </c>
      <c r="T125" s="743">
        <v>0</v>
      </c>
      <c r="U125" s="732">
        <v>0</v>
      </c>
      <c r="V125" s="743">
        <v>0</v>
      </c>
      <c r="W125" s="732">
        <v>0</v>
      </c>
      <c r="X125" s="743">
        <v>0</v>
      </c>
      <c r="Y125" s="846">
        <f t="shared" si="41"/>
        <v>0</v>
      </c>
      <c r="Z125" s="847">
        <f t="shared" si="42"/>
        <v>0</v>
      </c>
      <c r="AA125" s="730">
        <f aca="true" t="shared" si="53" ref="AA125:AA156">IF(Y125&lt;&gt;0,Z125/Q125,"")</f>
      </c>
      <c r="AB125" s="731">
        <f aca="true" t="shared" si="54" ref="AB125:AB156">IF(Y125&lt;&gt;0,Y125/Z125,"")</f>
      </c>
      <c r="AC125" s="736">
        <v>0</v>
      </c>
      <c r="AD125" s="733">
        <f t="shared" si="43"/>
      </c>
      <c r="AE125" s="747">
        <f t="shared" si="47"/>
        <v>1782</v>
      </c>
      <c r="AF125" s="748">
        <f t="shared" si="48"/>
        <v>356</v>
      </c>
      <c r="AG125" s="764">
        <v>1782</v>
      </c>
      <c r="AH125" s="765">
        <v>356</v>
      </c>
      <c r="AI125" s="751">
        <f t="shared" si="49"/>
        <v>0</v>
      </c>
      <c r="AJ125" s="751">
        <f t="shared" si="50"/>
        <v>1</v>
      </c>
      <c r="AK125" s="748">
        <f t="shared" si="51"/>
        <v>356</v>
      </c>
      <c r="AL125" s="752">
        <f t="shared" si="52"/>
        <v>5.00561797752809</v>
      </c>
      <c r="AM125" s="753"/>
      <c r="AN125" s="751">
        <f aca="true" t="shared" si="55" ref="AN125:AN156">IF(AM125&lt;&gt;0,-(AM125-AG125)/AM125,"")</f>
      </c>
      <c r="AO125" s="497">
        <f>478213+7083+3309.5+6055+4900+8378+4378.5+2349+3103+2074+7679.5+6108+2991.5+2180+2234+642+2775.5+1757+1151+3382+60+1782+2851+1188+713+286+2138.5+2138.5+2138.5+1782</f>
        <v>565821</v>
      </c>
      <c r="AP125" s="498">
        <f>55327+1259+553+1133+756+1285+650+408+682+334+1688+1394+539+483+475+201+677+260+202+852+20+445+712+297+178+67+535+535+535+356</f>
        <v>72838</v>
      </c>
      <c r="AQ125" s="768">
        <f t="shared" si="40"/>
        <v>7.768211647766276</v>
      </c>
      <c r="AR125" s="316">
        <v>40942</v>
      </c>
      <c r="AS125" s="509" t="s">
        <v>349</v>
      </c>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row>
    <row r="126" spans="1:102" s="344" customFormat="1" ht="15.75" hidden="1">
      <c r="A126" s="368" t="s">
        <v>608</v>
      </c>
      <c r="B126" s="348"/>
      <c r="C126" s="352" t="s">
        <v>261</v>
      </c>
      <c r="D126" s="349"/>
      <c r="E126" s="349"/>
      <c r="F126" s="349"/>
      <c r="G126" s="349"/>
      <c r="H126" s="354" t="s">
        <v>55</v>
      </c>
      <c r="I126" s="351"/>
      <c r="J126" s="211" t="s">
        <v>354</v>
      </c>
      <c r="K126" s="63" t="s">
        <v>126</v>
      </c>
      <c r="L126" s="65" t="s">
        <v>397</v>
      </c>
      <c r="M126" s="63" t="s">
        <v>354</v>
      </c>
      <c r="N126" s="225">
        <v>40641</v>
      </c>
      <c r="O126" s="64" t="s">
        <v>68</v>
      </c>
      <c r="P126" s="263">
        <v>137</v>
      </c>
      <c r="Q126" s="264">
        <v>1</v>
      </c>
      <c r="R126" s="264">
        <v>41</v>
      </c>
      <c r="S126" s="732">
        <v>0</v>
      </c>
      <c r="T126" s="743">
        <v>0</v>
      </c>
      <c r="U126" s="732">
        <v>0</v>
      </c>
      <c r="V126" s="743">
        <v>0</v>
      </c>
      <c r="W126" s="732">
        <v>0</v>
      </c>
      <c r="X126" s="743">
        <v>0</v>
      </c>
      <c r="Y126" s="846">
        <f t="shared" si="41"/>
        <v>0</v>
      </c>
      <c r="Z126" s="847">
        <f t="shared" si="42"/>
        <v>0</v>
      </c>
      <c r="AA126" s="730">
        <f t="shared" si="53"/>
      </c>
      <c r="AB126" s="731">
        <f t="shared" si="54"/>
      </c>
      <c r="AC126" s="736">
        <v>0</v>
      </c>
      <c r="AD126" s="733">
        <f t="shared" si="43"/>
      </c>
      <c r="AE126" s="747">
        <f t="shared" si="47"/>
        <v>1188</v>
      </c>
      <c r="AF126" s="748">
        <f t="shared" si="48"/>
        <v>238</v>
      </c>
      <c r="AG126" s="764">
        <v>1188</v>
      </c>
      <c r="AH126" s="765">
        <v>238</v>
      </c>
      <c r="AI126" s="751">
        <f t="shared" si="49"/>
        <v>0</v>
      </c>
      <c r="AJ126" s="751">
        <f t="shared" si="50"/>
        <v>1</v>
      </c>
      <c r="AK126" s="748">
        <f t="shared" si="51"/>
        <v>238</v>
      </c>
      <c r="AL126" s="752">
        <f t="shared" si="52"/>
        <v>4.991596638655462</v>
      </c>
      <c r="AM126" s="753">
        <v>2318</v>
      </c>
      <c r="AN126" s="751">
        <f t="shared" si="55"/>
        <v>-0.48748921484037966</v>
      </c>
      <c r="AO126" s="497">
        <f>1093950.25+883807.25+882248.49+232093.5+101981.5+57830.5+19947.5+33359.5+10973.5+10465+4630+3501.5+10659+9758.5+3633+5790+6145.5+1329.5+1868.5+1128+2980.5+1299.5+16988+15449+14138+200+1908+7960+4871+1544.5+1533+891+3175+713+425+224+993+2318+3705+4989.5+1188</f>
        <v>3462593.49</v>
      </c>
      <c r="AP126" s="498">
        <f>103570+88345+90215+25333+13427+8958+3731+5336+2366+2057+997+691+1831+2140+654+1021+736+207+401+189+424+234+4142+3841+3526+40+471+1991+1218+386+96+56+735+178+84+42+228+1120+1571+1248+238</f>
        <v>374074</v>
      </c>
      <c r="AQ126" s="768">
        <f t="shared" si="40"/>
        <v>9.25643987553265</v>
      </c>
      <c r="AR126" s="316">
        <v>40942</v>
      </c>
      <c r="AS126" s="509" t="s">
        <v>349</v>
      </c>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row>
    <row r="127" spans="1:102" s="344" customFormat="1" ht="15.75" hidden="1">
      <c r="A127" s="368" t="s">
        <v>609</v>
      </c>
      <c r="B127" s="358"/>
      <c r="C127" s="352" t="s">
        <v>261</v>
      </c>
      <c r="D127" s="359"/>
      <c r="E127" s="359"/>
      <c r="F127" s="355"/>
      <c r="G127" s="355"/>
      <c r="H127" s="351"/>
      <c r="I127" s="353" t="s">
        <v>54</v>
      </c>
      <c r="J127" s="211" t="s">
        <v>625</v>
      </c>
      <c r="K127" s="61" t="s">
        <v>626</v>
      </c>
      <c r="L127" s="66"/>
      <c r="M127" s="66" t="s">
        <v>625</v>
      </c>
      <c r="N127" s="225">
        <v>40585</v>
      </c>
      <c r="O127" s="64" t="s">
        <v>68</v>
      </c>
      <c r="P127" s="272">
        <v>58</v>
      </c>
      <c r="Q127" s="264">
        <v>1</v>
      </c>
      <c r="R127" s="264">
        <v>37</v>
      </c>
      <c r="S127" s="732">
        <v>0</v>
      </c>
      <c r="T127" s="743">
        <v>0</v>
      </c>
      <c r="U127" s="732">
        <v>0</v>
      </c>
      <c r="V127" s="743">
        <v>0</v>
      </c>
      <c r="W127" s="732">
        <v>0</v>
      </c>
      <c r="X127" s="743">
        <v>0</v>
      </c>
      <c r="Y127" s="846">
        <f t="shared" si="41"/>
        <v>0</v>
      </c>
      <c r="Z127" s="847">
        <f t="shared" si="42"/>
        <v>0</v>
      </c>
      <c r="AA127" s="730">
        <f t="shared" si="53"/>
      </c>
      <c r="AB127" s="731">
        <f t="shared" si="54"/>
      </c>
      <c r="AC127" s="728">
        <v>0</v>
      </c>
      <c r="AD127" s="733">
        <f t="shared" si="43"/>
      </c>
      <c r="AE127" s="747">
        <f t="shared" si="47"/>
        <v>950.5</v>
      </c>
      <c r="AF127" s="748">
        <f t="shared" si="48"/>
        <v>190</v>
      </c>
      <c r="AG127" s="764">
        <v>950.5</v>
      </c>
      <c r="AH127" s="765">
        <v>190</v>
      </c>
      <c r="AI127" s="751">
        <f t="shared" si="49"/>
        <v>0</v>
      </c>
      <c r="AJ127" s="751">
        <f t="shared" si="50"/>
        <v>1</v>
      </c>
      <c r="AK127" s="748">
        <f t="shared" si="51"/>
        <v>190</v>
      </c>
      <c r="AL127" s="752">
        <f t="shared" si="52"/>
        <v>5.002631578947368</v>
      </c>
      <c r="AM127" s="753"/>
      <c r="AN127" s="751">
        <f t="shared" si="55"/>
      </c>
      <c r="AO127" s="497">
        <f>236018+209847.25+105622+138051.5+64189.5+34454+20202.5+27754+16946+8179.5+9672.5+8494+21812+25095+12109+8066+3824+4092+15394+226700+172575.5+127465+93972+96529+77366.5+63475.5+48505.5+31769.5+29482+10986+6164+59+1093.5+1386+279+950.5+950.5</f>
        <v>1959531.75</v>
      </c>
      <c r="AP127" s="498">
        <f>25731+24506+13184+19079+9581+4996+3067+4392+3122+1175+1530+1410+3175+3587+1436+923+420+447+1629+25969+20073+15455+11876+13635+10490+9269+7265+5116+4049+1598+1517+8+257+323+37+190+190</f>
        <v>250707</v>
      </c>
      <c r="AQ127" s="768">
        <f t="shared" si="40"/>
        <v>7.816023286146777</v>
      </c>
      <c r="AR127" s="316">
        <v>40942</v>
      </c>
      <c r="AS127" s="509" t="s">
        <v>349</v>
      </c>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row>
    <row r="128" spans="1:102" s="344" customFormat="1" ht="15.75" hidden="1">
      <c r="A128" s="368" t="s">
        <v>610</v>
      </c>
      <c r="B128" s="349"/>
      <c r="C128" s="352" t="s">
        <v>261</v>
      </c>
      <c r="D128" s="361" t="s">
        <v>223</v>
      </c>
      <c r="E128" s="349"/>
      <c r="F128" s="349"/>
      <c r="G128" s="349"/>
      <c r="H128" s="354" t="s">
        <v>55</v>
      </c>
      <c r="I128" s="348"/>
      <c r="J128" s="209" t="s">
        <v>199</v>
      </c>
      <c r="K128" s="61" t="s">
        <v>207</v>
      </c>
      <c r="L128" s="68" t="s">
        <v>94</v>
      </c>
      <c r="M128" s="68" t="s">
        <v>199</v>
      </c>
      <c r="N128" s="226">
        <v>40648</v>
      </c>
      <c r="O128" s="64" t="s">
        <v>12</v>
      </c>
      <c r="P128" s="263">
        <v>76</v>
      </c>
      <c r="Q128" s="264">
        <v>1</v>
      </c>
      <c r="R128" s="264">
        <v>43</v>
      </c>
      <c r="S128" s="744">
        <v>0</v>
      </c>
      <c r="T128" s="745">
        <v>0</v>
      </c>
      <c r="U128" s="744">
        <v>0</v>
      </c>
      <c r="V128" s="745">
        <v>0</v>
      </c>
      <c r="W128" s="744">
        <v>0</v>
      </c>
      <c r="X128" s="745">
        <v>0</v>
      </c>
      <c r="Y128" s="846">
        <f t="shared" si="41"/>
        <v>0</v>
      </c>
      <c r="Z128" s="847">
        <f t="shared" si="42"/>
        <v>0</v>
      </c>
      <c r="AA128" s="730">
        <f t="shared" si="53"/>
      </c>
      <c r="AB128" s="731">
        <f t="shared" si="54"/>
      </c>
      <c r="AC128" s="736">
        <v>0</v>
      </c>
      <c r="AD128" s="733">
        <f t="shared" si="43"/>
      </c>
      <c r="AE128" s="747">
        <f t="shared" si="47"/>
        <v>1197</v>
      </c>
      <c r="AF128" s="748">
        <f t="shared" si="48"/>
        <v>189</v>
      </c>
      <c r="AG128" s="756">
        <v>1197</v>
      </c>
      <c r="AH128" s="757">
        <v>189</v>
      </c>
      <c r="AI128" s="751">
        <f t="shared" si="49"/>
        <v>0</v>
      </c>
      <c r="AJ128" s="751">
        <f t="shared" si="50"/>
        <v>1</v>
      </c>
      <c r="AK128" s="748">
        <f t="shared" si="51"/>
        <v>189</v>
      </c>
      <c r="AL128" s="752">
        <f t="shared" si="52"/>
        <v>6.333333333333333</v>
      </c>
      <c r="AM128" s="758"/>
      <c r="AN128" s="751">
        <f t="shared" si="55"/>
      </c>
      <c r="AO128" s="268">
        <v>572561</v>
      </c>
      <c r="AP128" s="269">
        <v>61637</v>
      </c>
      <c r="AQ128" s="768">
        <f t="shared" si="40"/>
        <v>9.28924185148531</v>
      </c>
      <c r="AR128" s="316">
        <v>40942</v>
      </c>
      <c r="AS128" s="509" t="s">
        <v>349</v>
      </c>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row>
    <row r="129" spans="1:102" s="344" customFormat="1" ht="15.75" hidden="1">
      <c r="A129" s="368" t="s">
        <v>611</v>
      </c>
      <c r="B129" s="349"/>
      <c r="C129" s="352" t="s">
        <v>261</v>
      </c>
      <c r="D129" s="355"/>
      <c r="E129" s="349"/>
      <c r="F129" s="349"/>
      <c r="G129" s="349"/>
      <c r="H129" s="354" t="s">
        <v>55</v>
      </c>
      <c r="I129" s="350"/>
      <c r="J129" s="209" t="s">
        <v>198</v>
      </c>
      <c r="K129" s="61" t="s">
        <v>208</v>
      </c>
      <c r="L129" s="68" t="s">
        <v>94</v>
      </c>
      <c r="M129" s="68" t="s">
        <v>198</v>
      </c>
      <c r="N129" s="225">
        <v>40606</v>
      </c>
      <c r="O129" s="64" t="s">
        <v>12</v>
      </c>
      <c r="P129" s="263">
        <v>104</v>
      </c>
      <c r="Q129" s="264">
        <v>1</v>
      </c>
      <c r="R129" s="264">
        <v>47</v>
      </c>
      <c r="S129" s="741">
        <v>0</v>
      </c>
      <c r="T129" s="742">
        <v>0</v>
      </c>
      <c r="U129" s="741">
        <v>0</v>
      </c>
      <c r="V129" s="742">
        <v>0</v>
      </c>
      <c r="W129" s="741">
        <v>1197</v>
      </c>
      <c r="X129" s="742">
        <v>189</v>
      </c>
      <c r="Y129" s="846">
        <f t="shared" si="41"/>
        <v>1197</v>
      </c>
      <c r="Z129" s="847">
        <f t="shared" si="42"/>
        <v>189</v>
      </c>
      <c r="AA129" s="730">
        <f t="shared" si="53"/>
        <v>189</v>
      </c>
      <c r="AB129" s="731">
        <f t="shared" si="54"/>
        <v>6.333333333333333</v>
      </c>
      <c r="AC129" s="736">
        <v>1197</v>
      </c>
      <c r="AD129" s="733">
        <f t="shared" si="43"/>
        <v>0</v>
      </c>
      <c r="AE129" s="747">
        <f t="shared" si="47"/>
        <v>0</v>
      </c>
      <c r="AF129" s="748">
        <f t="shared" si="48"/>
        <v>0</v>
      </c>
      <c r="AG129" s="756">
        <v>1197</v>
      </c>
      <c r="AH129" s="757">
        <v>189</v>
      </c>
      <c r="AI129" s="751">
        <f t="shared" si="49"/>
        <v>1</v>
      </c>
      <c r="AJ129" s="751">
        <f t="shared" si="50"/>
        <v>0</v>
      </c>
      <c r="AK129" s="748">
        <f t="shared" si="51"/>
        <v>189</v>
      </c>
      <c r="AL129" s="752">
        <f t="shared" si="52"/>
        <v>6.333333333333333</v>
      </c>
      <c r="AM129" s="758">
        <v>332</v>
      </c>
      <c r="AN129" s="751">
        <f t="shared" si="55"/>
        <v>2.605421686746988</v>
      </c>
      <c r="AO129" s="268">
        <v>1288731</v>
      </c>
      <c r="AP129" s="269">
        <v>133813</v>
      </c>
      <c r="AQ129" s="768">
        <f t="shared" si="40"/>
        <v>9.630835569040377</v>
      </c>
      <c r="AR129" s="316">
        <v>40935</v>
      </c>
      <c r="AS129" s="509" t="s">
        <v>349</v>
      </c>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row>
    <row r="130" spans="1:102" s="344" customFormat="1" ht="15.75" hidden="1">
      <c r="A130" s="368" t="s">
        <v>612</v>
      </c>
      <c r="B130" s="348"/>
      <c r="C130" s="352" t="s">
        <v>261</v>
      </c>
      <c r="D130" s="349"/>
      <c r="E130" s="349"/>
      <c r="F130" s="349"/>
      <c r="G130" s="349"/>
      <c r="H130" s="350"/>
      <c r="I130" s="353" t="s">
        <v>54</v>
      </c>
      <c r="J130" s="214" t="s">
        <v>71</v>
      </c>
      <c r="K130" s="61" t="s">
        <v>82</v>
      </c>
      <c r="L130" s="61"/>
      <c r="M130" s="61" t="s">
        <v>71</v>
      </c>
      <c r="N130" s="226">
        <v>40858</v>
      </c>
      <c r="O130" s="64" t="s">
        <v>53</v>
      </c>
      <c r="P130" s="263">
        <v>130</v>
      </c>
      <c r="Q130" s="281">
        <v>2</v>
      </c>
      <c r="R130" s="281">
        <v>12</v>
      </c>
      <c r="S130" s="741">
        <v>50</v>
      </c>
      <c r="T130" s="742">
        <v>4</v>
      </c>
      <c r="U130" s="741">
        <v>112.5</v>
      </c>
      <c r="V130" s="742">
        <v>9</v>
      </c>
      <c r="W130" s="741">
        <v>204.5</v>
      </c>
      <c r="X130" s="742">
        <v>19</v>
      </c>
      <c r="Y130" s="846">
        <f t="shared" si="41"/>
        <v>367</v>
      </c>
      <c r="Z130" s="847">
        <f t="shared" si="42"/>
        <v>32</v>
      </c>
      <c r="AA130" s="730">
        <f t="shared" si="53"/>
        <v>16</v>
      </c>
      <c r="AB130" s="731">
        <f t="shared" si="54"/>
        <v>11.46875</v>
      </c>
      <c r="AC130" s="736">
        <v>367</v>
      </c>
      <c r="AD130" s="733">
        <f t="shared" si="43"/>
        <v>0</v>
      </c>
      <c r="AE130" s="747">
        <f t="shared" si="47"/>
        <v>405</v>
      </c>
      <c r="AF130" s="748">
        <f t="shared" si="48"/>
        <v>35</v>
      </c>
      <c r="AG130" s="756">
        <v>772</v>
      </c>
      <c r="AH130" s="757">
        <v>67</v>
      </c>
      <c r="AI130" s="751">
        <f t="shared" si="49"/>
        <v>0.47761194029850745</v>
      </c>
      <c r="AJ130" s="751">
        <f t="shared" si="50"/>
        <v>0.5223880597014925</v>
      </c>
      <c r="AK130" s="748">
        <f t="shared" si="51"/>
        <v>33.5</v>
      </c>
      <c r="AL130" s="752">
        <f t="shared" si="52"/>
        <v>11.522388059701493</v>
      </c>
      <c r="AM130" s="758">
        <v>5914</v>
      </c>
      <c r="AN130" s="751">
        <f t="shared" si="55"/>
        <v>-0.8694622928643896</v>
      </c>
      <c r="AO130" s="268">
        <f>665902+436506+215139.5+18371+13790+6539+18719+8754+1085+753+5914+772</f>
        <v>1392244.5</v>
      </c>
      <c r="AP130" s="269">
        <f>66262+44749+24699+2311+1764+1135+3015+1547+179+111+595+67</f>
        <v>146434</v>
      </c>
      <c r="AQ130" s="768">
        <f t="shared" si="40"/>
        <v>9.507658740456451</v>
      </c>
      <c r="AR130" s="316">
        <v>40935</v>
      </c>
      <c r="AS130" s="509" t="s">
        <v>349</v>
      </c>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row>
    <row r="131" spans="1:102" s="344" customFormat="1" ht="15.75" hidden="1">
      <c r="A131" s="368" t="s">
        <v>613</v>
      </c>
      <c r="B131" s="348"/>
      <c r="C131" s="352" t="s">
        <v>261</v>
      </c>
      <c r="D131" s="349"/>
      <c r="E131" s="349"/>
      <c r="F131" s="349"/>
      <c r="G131" s="349"/>
      <c r="H131" s="351"/>
      <c r="I131" s="353" t="s">
        <v>54</v>
      </c>
      <c r="J131" s="396" t="s">
        <v>237</v>
      </c>
      <c r="K131" s="64" t="s">
        <v>238</v>
      </c>
      <c r="L131" s="64"/>
      <c r="M131" s="64" t="s">
        <v>237</v>
      </c>
      <c r="N131" s="225">
        <v>40613</v>
      </c>
      <c r="O131" s="64" t="s">
        <v>13</v>
      </c>
      <c r="P131" s="263">
        <v>25</v>
      </c>
      <c r="Q131" s="264">
        <v>1</v>
      </c>
      <c r="R131" s="264">
        <v>19</v>
      </c>
      <c r="S131" s="728">
        <v>0</v>
      </c>
      <c r="T131" s="729">
        <v>0</v>
      </c>
      <c r="U131" s="728">
        <v>0</v>
      </c>
      <c r="V131" s="729">
        <v>0</v>
      </c>
      <c r="W131" s="728">
        <v>0</v>
      </c>
      <c r="X131" s="729">
        <v>0</v>
      </c>
      <c r="Y131" s="846">
        <f t="shared" si="41"/>
        <v>0</v>
      </c>
      <c r="Z131" s="847">
        <f t="shared" si="42"/>
        <v>0</v>
      </c>
      <c r="AA131" s="730">
        <f t="shared" si="53"/>
      </c>
      <c r="AB131" s="731">
        <f t="shared" si="54"/>
      </c>
      <c r="AC131" s="736">
        <v>0</v>
      </c>
      <c r="AD131" s="733">
        <f t="shared" si="43"/>
      </c>
      <c r="AE131" s="747">
        <f t="shared" si="47"/>
        <v>605</v>
      </c>
      <c r="AF131" s="748">
        <f t="shared" si="48"/>
        <v>121</v>
      </c>
      <c r="AG131" s="756">
        <v>605</v>
      </c>
      <c r="AH131" s="757">
        <v>121</v>
      </c>
      <c r="AI131" s="751">
        <f t="shared" si="49"/>
        <v>0</v>
      </c>
      <c r="AJ131" s="751">
        <f t="shared" si="50"/>
        <v>1</v>
      </c>
      <c r="AK131" s="748">
        <f t="shared" si="51"/>
        <v>121</v>
      </c>
      <c r="AL131" s="752">
        <f t="shared" si="52"/>
        <v>5</v>
      </c>
      <c r="AM131" s="758">
        <v>594</v>
      </c>
      <c r="AN131" s="751">
        <f t="shared" si="55"/>
        <v>0.018518518518518517</v>
      </c>
      <c r="AO131" s="268">
        <v>212148.5</v>
      </c>
      <c r="AP131" s="269">
        <v>28587</v>
      </c>
      <c r="AQ131" s="768">
        <f t="shared" si="40"/>
        <v>7.421152971630462</v>
      </c>
      <c r="AR131" s="316">
        <v>40935</v>
      </c>
      <c r="AS131" s="509" t="s">
        <v>349</v>
      </c>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row>
    <row r="132" spans="1:102" s="344" customFormat="1" ht="15.75" hidden="1">
      <c r="A132" s="368" t="s">
        <v>614</v>
      </c>
      <c r="B132" s="348"/>
      <c r="C132" s="352" t="s">
        <v>261</v>
      </c>
      <c r="D132" s="361" t="s">
        <v>223</v>
      </c>
      <c r="E132" s="349"/>
      <c r="F132" s="349"/>
      <c r="G132" s="349"/>
      <c r="H132" s="354" t="s">
        <v>55</v>
      </c>
      <c r="I132" s="350"/>
      <c r="J132" s="211" t="s">
        <v>272</v>
      </c>
      <c r="K132" s="61" t="s">
        <v>289</v>
      </c>
      <c r="L132" s="65" t="s">
        <v>85</v>
      </c>
      <c r="M132" s="63" t="s">
        <v>288</v>
      </c>
      <c r="N132" s="225">
        <v>40655</v>
      </c>
      <c r="O132" s="64" t="s">
        <v>68</v>
      </c>
      <c r="P132" s="263">
        <v>156</v>
      </c>
      <c r="Q132" s="264">
        <v>1</v>
      </c>
      <c r="R132" s="264">
        <v>25</v>
      </c>
      <c r="S132" s="732">
        <v>0</v>
      </c>
      <c r="T132" s="743">
        <v>0</v>
      </c>
      <c r="U132" s="732">
        <v>0</v>
      </c>
      <c r="V132" s="743">
        <v>0</v>
      </c>
      <c r="W132" s="732">
        <v>0</v>
      </c>
      <c r="X132" s="743">
        <v>0</v>
      </c>
      <c r="Y132" s="846">
        <f t="shared" si="41"/>
        <v>0</v>
      </c>
      <c r="Z132" s="847">
        <f t="shared" si="42"/>
        <v>0</v>
      </c>
      <c r="AA132" s="730">
        <f t="shared" si="53"/>
      </c>
      <c r="AB132" s="731">
        <f t="shared" si="54"/>
      </c>
      <c r="AC132" s="736"/>
      <c r="AD132" s="733">
        <f t="shared" si="43"/>
      </c>
      <c r="AE132" s="747">
        <f t="shared" si="47"/>
        <v>3121</v>
      </c>
      <c r="AF132" s="748">
        <f t="shared" si="48"/>
        <v>951</v>
      </c>
      <c r="AG132" s="764">
        <v>3121</v>
      </c>
      <c r="AH132" s="765">
        <v>951</v>
      </c>
      <c r="AI132" s="751">
        <f t="shared" si="49"/>
        <v>0</v>
      </c>
      <c r="AJ132" s="751">
        <f t="shared" si="50"/>
        <v>1</v>
      </c>
      <c r="AK132" s="748">
        <f t="shared" si="51"/>
        <v>951</v>
      </c>
      <c r="AL132" s="752">
        <f t="shared" si="52"/>
        <v>3.281808622502629</v>
      </c>
      <c r="AM132" s="753">
        <v>84</v>
      </c>
      <c r="AN132" s="751">
        <f t="shared" si="55"/>
        <v>36.154761904761905</v>
      </c>
      <c r="AO132" s="497">
        <f>633760.5+136320.5+35218.5+12632+4659.5+2946+8058+2678+3172+3399.5+598+564+1471+2243+357+860+1425.5+8382.5+1782+968+1958+1164+407.5+84+1917+3121</f>
        <v>870147</v>
      </c>
      <c r="AP132" s="498">
        <f>74640+17307+4811+1875+917+522+1372+426+632+730+116+93+159+384+67+172+356+2088+446+190+480+372+60+12+847+951</f>
        <v>110025</v>
      </c>
      <c r="AQ132" s="768">
        <f t="shared" si="40"/>
        <v>7.908629856850716</v>
      </c>
      <c r="AR132" s="316">
        <v>40935</v>
      </c>
      <c r="AS132" s="509" t="s">
        <v>349</v>
      </c>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row>
    <row r="133" spans="1:102" s="344" customFormat="1" ht="15.75" hidden="1">
      <c r="A133" s="368" t="s">
        <v>615</v>
      </c>
      <c r="B133" s="349"/>
      <c r="C133" s="352" t="s">
        <v>261</v>
      </c>
      <c r="D133" s="349"/>
      <c r="E133" s="349"/>
      <c r="F133" s="349"/>
      <c r="G133" s="360" t="s">
        <v>292</v>
      </c>
      <c r="H133" s="350"/>
      <c r="I133" s="350"/>
      <c r="J133" s="209" t="s">
        <v>65</v>
      </c>
      <c r="K133" s="68" t="s">
        <v>91</v>
      </c>
      <c r="L133" s="62" t="s">
        <v>94</v>
      </c>
      <c r="M133" s="68" t="s">
        <v>65</v>
      </c>
      <c r="N133" s="226">
        <v>40837</v>
      </c>
      <c r="O133" s="64" t="s">
        <v>12</v>
      </c>
      <c r="P133" s="263">
        <v>112</v>
      </c>
      <c r="Q133" s="264">
        <v>1</v>
      </c>
      <c r="R133" s="264">
        <v>14</v>
      </c>
      <c r="S133" s="741">
        <v>523</v>
      </c>
      <c r="T133" s="742">
        <v>74</v>
      </c>
      <c r="U133" s="741">
        <v>625</v>
      </c>
      <c r="V133" s="742">
        <v>88</v>
      </c>
      <c r="W133" s="741">
        <v>728</v>
      </c>
      <c r="X133" s="742">
        <v>102</v>
      </c>
      <c r="Y133" s="846">
        <f t="shared" si="41"/>
        <v>1876</v>
      </c>
      <c r="Z133" s="847">
        <f t="shared" si="42"/>
        <v>264</v>
      </c>
      <c r="AA133" s="730">
        <f t="shared" si="53"/>
        <v>264</v>
      </c>
      <c r="AB133" s="731">
        <f t="shared" si="54"/>
        <v>7.106060606060606</v>
      </c>
      <c r="AC133" s="736"/>
      <c r="AD133" s="733">
        <f t="shared" si="43"/>
      </c>
      <c r="AE133" s="747">
        <f t="shared" si="47"/>
        <v>2065</v>
      </c>
      <c r="AF133" s="748">
        <f t="shared" si="48"/>
        <v>290</v>
      </c>
      <c r="AG133" s="756">
        <v>3941</v>
      </c>
      <c r="AH133" s="757">
        <v>554</v>
      </c>
      <c r="AI133" s="751">
        <f t="shared" si="49"/>
        <v>0.47653429602888087</v>
      </c>
      <c r="AJ133" s="751">
        <f t="shared" si="50"/>
        <v>0.5234657039711191</v>
      </c>
      <c r="AK133" s="748">
        <f t="shared" si="51"/>
        <v>554</v>
      </c>
      <c r="AL133" s="752">
        <f t="shared" si="52"/>
        <v>7.113718411552346</v>
      </c>
      <c r="AM133" s="758">
        <v>1003</v>
      </c>
      <c r="AN133" s="751">
        <f t="shared" si="55"/>
        <v>2.929212362911266</v>
      </c>
      <c r="AO133" s="268">
        <v>2341282</v>
      </c>
      <c r="AP133" s="269">
        <v>246371</v>
      </c>
      <c r="AQ133" s="768">
        <f t="shared" si="40"/>
        <v>9.503074631348657</v>
      </c>
      <c r="AR133" s="316">
        <v>40928</v>
      </c>
      <c r="AS133" s="509" t="s">
        <v>349</v>
      </c>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row>
    <row r="134" spans="1:102" s="344" customFormat="1" ht="15.75" hidden="1">
      <c r="A134" s="368" t="s">
        <v>616</v>
      </c>
      <c r="B134" s="358"/>
      <c r="C134" s="352" t="s">
        <v>261</v>
      </c>
      <c r="D134" s="361" t="s">
        <v>223</v>
      </c>
      <c r="E134" s="359"/>
      <c r="F134" s="349"/>
      <c r="G134" s="360" t="s">
        <v>292</v>
      </c>
      <c r="H134" s="354" t="s">
        <v>55</v>
      </c>
      <c r="I134" s="357"/>
      <c r="J134" s="207" t="s">
        <v>175</v>
      </c>
      <c r="K134" s="66" t="s">
        <v>187</v>
      </c>
      <c r="L134" s="66" t="s">
        <v>138</v>
      </c>
      <c r="M134" s="66" t="s">
        <v>178</v>
      </c>
      <c r="N134" s="225">
        <v>39682</v>
      </c>
      <c r="O134" s="64" t="s">
        <v>53</v>
      </c>
      <c r="P134" s="280">
        <v>60</v>
      </c>
      <c r="Q134" s="281">
        <v>1</v>
      </c>
      <c r="R134" s="281">
        <v>24</v>
      </c>
      <c r="S134" s="741">
        <v>302</v>
      </c>
      <c r="T134" s="742">
        <v>60</v>
      </c>
      <c r="U134" s="741">
        <v>750</v>
      </c>
      <c r="V134" s="742">
        <v>150</v>
      </c>
      <c r="W134" s="741">
        <v>750</v>
      </c>
      <c r="X134" s="742">
        <v>150</v>
      </c>
      <c r="Y134" s="846">
        <f t="shared" si="41"/>
        <v>1802</v>
      </c>
      <c r="Z134" s="847">
        <f t="shared" si="42"/>
        <v>360</v>
      </c>
      <c r="AA134" s="730">
        <f t="shared" si="53"/>
        <v>360</v>
      </c>
      <c r="AB134" s="731">
        <f t="shared" si="54"/>
        <v>5.0055555555555555</v>
      </c>
      <c r="AC134" s="736"/>
      <c r="AD134" s="733">
        <f t="shared" si="43"/>
      </c>
      <c r="AE134" s="747">
        <f t="shared" si="47"/>
        <v>0</v>
      </c>
      <c r="AF134" s="748">
        <f t="shared" si="48"/>
        <v>0</v>
      </c>
      <c r="AG134" s="756">
        <v>1802</v>
      </c>
      <c r="AH134" s="757">
        <v>360</v>
      </c>
      <c r="AI134" s="751">
        <f t="shared" si="49"/>
        <v>1</v>
      </c>
      <c r="AJ134" s="751">
        <f t="shared" si="50"/>
        <v>0</v>
      </c>
      <c r="AK134" s="748">
        <f t="shared" si="51"/>
        <v>360</v>
      </c>
      <c r="AL134" s="752">
        <f t="shared" si="52"/>
        <v>5.0055555555555555</v>
      </c>
      <c r="AM134" s="758">
        <v>1201</v>
      </c>
      <c r="AN134" s="751">
        <f t="shared" si="55"/>
        <v>0.5004163197335554</v>
      </c>
      <c r="AO134" s="268">
        <f>111737+37434.5+11042+9412+0.5+6921+5282+0.5+1449+105+269+162+117+442+7259+305+4320+1922+1799+1799+135+1799+3598+1201+1802</f>
        <v>210312.5</v>
      </c>
      <c r="AP134" s="269">
        <f>13345+4357+1377+1694+1346+1248+225+18+64+40+37+108+2420+61+783+385+300+300+15+300+600+240+360</f>
        <v>29623</v>
      </c>
      <c r="AQ134" s="768">
        <f t="shared" si="40"/>
        <v>7.099635418424873</v>
      </c>
      <c r="AR134" s="316">
        <v>40928</v>
      </c>
      <c r="AS134" s="509" t="s">
        <v>349</v>
      </c>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row>
    <row r="135" spans="1:102" s="344" customFormat="1" ht="15.75" hidden="1">
      <c r="A135" s="368" t="s">
        <v>617</v>
      </c>
      <c r="B135" s="349"/>
      <c r="C135" s="352" t="s">
        <v>261</v>
      </c>
      <c r="D135" s="361" t="s">
        <v>223</v>
      </c>
      <c r="E135" s="349"/>
      <c r="F135" s="349"/>
      <c r="G135" s="360" t="s">
        <v>292</v>
      </c>
      <c r="H135" s="354" t="s">
        <v>55</v>
      </c>
      <c r="I135" s="350"/>
      <c r="J135" s="209" t="s">
        <v>103</v>
      </c>
      <c r="K135" s="61" t="s">
        <v>91</v>
      </c>
      <c r="L135" s="68" t="s">
        <v>94</v>
      </c>
      <c r="M135" s="68" t="s">
        <v>103</v>
      </c>
      <c r="N135" s="225">
        <v>40704</v>
      </c>
      <c r="O135" s="64" t="s">
        <v>12</v>
      </c>
      <c r="P135" s="263">
        <v>144</v>
      </c>
      <c r="Q135" s="264">
        <v>1</v>
      </c>
      <c r="R135" s="264">
        <v>33</v>
      </c>
      <c r="S135" s="741">
        <v>171</v>
      </c>
      <c r="T135" s="742">
        <v>27</v>
      </c>
      <c r="U135" s="741">
        <v>171</v>
      </c>
      <c r="V135" s="742">
        <v>27</v>
      </c>
      <c r="W135" s="741">
        <v>171</v>
      </c>
      <c r="X135" s="742">
        <v>27</v>
      </c>
      <c r="Y135" s="846">
        <f t="shared" si="41"/>
        <v>513</v>
      </c>
      <c r="Z135" s="847">
        <f t="shared" si="42"/>
        <v>81</v>
      </c>
      <c r="AA135" s="730">
        <f t="shared" si="53"/>
        <v>81</v>
      </c>
      <c r="AB135" s="731">
        <f t="shared" si="54"/>
        <v>6.333333333333333</v>
      </c>
      <c r="AC135" s="736"/>
      <c r="AD135" s="733">
        <f t="shared" si="43"/>
      </c>
      <c r="AE135" s="747">
        <f t="shared" si="47"/>
        <v>684</v>
      </c>
      <c r="AF135" s="748">
        <f t="shared" si="48"/>
        <v>108</v>
      </c>
      <c r="AG135" s="756">
        <v>1197</v>
      </c>
      <c r="AH135" s="757">
        <v>189</v>
      </c>
      <c r="AI135" s="751">
        <f t="shared" si="49"/>
        <v>0.42857142857142855</v>
      </c>
      <c r="AJ135" s="751">
        <f t="shared" si="50"/>
        <v>0.5714285714285714</v>
      </c>
      <c r="AK135" s="748">
        <f t="shared" si="51"/>
        <v>189</v>
      </c>
      <c r="AL135" s="752">
        <f t="shared" si="52"/>
        <v>6.333333333333333</v>
      </c>
      <c r="AM135" s="758"/>
      <c r="AN135" s="751">
        <f t="shared" si="55"/>
      </c>
      <c r="AO135" s="268">
        <v>3761997</v>
      </c>
      <c r="AP135" s="269">
        <v>344950</v>
      </c>
      <c r="AQ135" s="768">
        <f t="shared" si="40"/>
        <v>10.90591969850703</v>
      </c>
      <c r="AR135" s="316">
        <v>40928</v>
      </c>
      <c r="AS135" s="509" t="s">
        <v>349</v>
      </c>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row>
    <row r="136" spans="1:102" s="344" customFormat="1" ht="15.75" hidden="1">
      <c r="A136" s="368" t="s">
        <v>618</v>
      </c>
      <c r="B136" s="349"/>
      <c r="C136" s="352" t="s">
        <v>261</v>
      </c>
      <c r="D136" s="349"/>
      <c r="E136" s="349"/>
      <c r="F136" s="349"/>
      <c r="G136" s="349"/>
      <c r="H136" s="349"/>
      <c r="I136" s="350"/>
      <c r="J136" s="216" t="s">
        <v>425</v>
      </c>
      <c r="K136" s="62" t="s">
        <v>91</v>
      </c>
      <c r="L136" s="62" t="s">
        <v>94</v>
      </c>
      <c r="M136" s="65" t="s">
        <v>429</v>
      </c>
      <c r="N136" s="225">
        <v>40723</v>
      </c>
      <c r="O136" s="64" t="s">
        <v>12</v>
      </c>
      <c r="P136" s="263">
        <v>323</v>
      </c>
      <c r="Q136" s="264">
        <v>1</v>
      </c>
      <c r="R136" s="264">
        <v>30</v>
      </c>
      <c r="S136" s="741">
        <v>171</v>
      </c>
      <c r="T136" s="742">
        <v>27</v>
      </c>
      <c r="U136" s="741">
        <v>171</v>
      </c>
      <c r="V136" s="742">
        <v>27</v>
      </c>
      <c r="W136" s="741">
        <v>171</v>
      </c>
      <c r="X136" s="742">
        <v>27</v>
      </c>
      <c r="Y136" s="846">
        <f t="shared" si="41"/>
        <v>513</v>
      </c>
      <c r="Z136" s="847">
        <f t="shared" si="42"/>
        <v>81</v>
      </c>
      <c r="AA136" s="730">
        <f t="shared" si="53"/>
        <v>81</v>
      </c>
      <c r="AB136" s="731">
        <f t="shared" si="54"/>
        <v>6.333333333333333</v>
      </c>
      <c r="AC136" s="736"/>
      <c r="AD136" s="733">
        <f t="shared" si="43"/>
      </c>
      <c r="AE136" s="747">
        <f t="shared" si="47"/>
        <v>684</v>
      </c>
      <c r="AF136" s="748">
        <f t="shared" si="48"/>
        <v>108</v>
      </c>
      <c r="AG136" s="756">
        <v>1197</v>
      </c>
      <c r="AH136" s="757">
        <v>189</v>
      </c>
      <c r="AI136" s="751">
        <f t="shared" si="49"/>
        <v>0.42857142857142855</v>
      </c>
      <c r="AJ136" s="751">
        <f t="shared" si="50"/>
        <v>0.5714285714285714</v>
      </c>
      <c r="AK136" s="748">
        <f t="shared" si="51"/>
        <v>189</v>
      </c>
      <c r="AL136" s="752">
        <f t="shared" si="52"/>
        <v>6.333333333333333</v>
      </c>
      <c r="AM136" s="758"/>
      <c r="AN136" s="751">
        <f t="shared" si="55"/>
      </c>
      <c r="AO136" s="268">
        <v>6859258</v>
      </c>
      <c r="AP136" s="269">
        <v>646540</v>
      </c>
      <c r="AQ136" s="768">
        <f t="shared" si="40"/>
        <v>10.609178086429301</v>
      </c>
      <c r="AR136" s="316">
        <v>40928</v>
      </c>
      <c r="AS136" s="509" t="s">
        <v>349</v>
      </c>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row>
    <row r="137" spans="1:102" s="344" customFormat="1" ht="15.75" hidden="1">
      <c r="A137" s="368" t="s">
        <v>619</v>
      </c>
      <c r="B137" s="348"/>
      <c r="C137" s="352" t="s">
        <v>261</v>
      </c>
      <c r="D137" s="349"/>
      <c r="E137" s="349"/>
      <c r="F137" s="349"/>
      <c r="G137" s="349"/>
      <c r="H137" s="350"/>
      <c r="I137" s="358"/>
      <c r="J137" s="213" t="s">
        <v>168</v>
      </c>
      <c r="K137" s="61" t="s">
        <v>171</v>
      </c>
      <c r="L137" s="67" t="s">
        <v>99</v>
      </c>
      <c r="M137" s="65" t="s">
        <v>172</v>
      </c>
      <c r="N137" s="225">
        <v>40830</v>
      </c>
      <c r="O137" s="64" t="s">
        <v>52</v>
      </c>
      <c r="P137" s="284">
        <v>24</v>
      </c>
      <c r="Q137" s="277">
        <v>2</v>
      </c>
      <c r="R137" s="277">
        <v>9</v>
      </c>
      <c r="S137" s="737">
        <v>112</v>
      </c>
      <c r="T137" s="738">
        <v>14</v>
      </c>
      <c r="U137" s="737">
        <v>60</v>
      </c>
      <c r="V137" s="738">
        <v>6</v>
      </c>
      <c r="W137" s="737">
        <v>167</v>
      </c>
      <c r="X137" s="738">
        <v>23</v>
      </c>
      <c r="Y137" s="846">
        <f t="shared" si="41"/>
        <v>339</v>
      </c>
      <c r="Z137" s="847">
        <f t="shared" si="42"/>
        <v>43</v>
      </c>
      <c r="AA137" s="730">
        <f t="shared" si="53"/>
        <v>21.5</v>
      </c>
      <c r="AB137" s="731">
        <f t="shared" si="54"/>
        <v>7.883720930232558</v>
      </c>
      <c r="AC137" s="736"/>
      <c r="AD137" s="733">
        <f t="shared" si="43"/>
      </c>
      <c r="AE137" s="747">
        <f t="shared" si="47"/>
        <v>186</v>
      </c>
      <c r="AF137" s="748">
        <f t="shared" si="48"/>
        <v>26</v>
      </c>
      <c r="AG137" s="760">
        <v>525</v>
      </c>
      <c r="AH137" s="761">
        <v>69</v>
      </c>
      <c r="AI137" s="751">
        <f t="shared" si="49"/>
        <v>0.6231884057971014</v>
      </c>
      <c r="AJ137" s="751">
        <f t="shared" si="50"/>
        <v>0.37681159420289856</v>
      </c>
      <c r="AK137" s="748">
        <f t="shared" si="51"/>
        <v>34.5</v>
      </c>
      <c r="AL137" s="752">
        <f t="shared" si="52"/>
        <v>7.608695652173913</v>
      </c>
      <c r="AM137" s="759">
        <v>429</v>
      </c>
      <c r="AN137" s="751">
        <f t="shared" si="55"/>
        <v>0.22377622377622378</v>
      </c>
      <c r="AO137" s="771">
        <f>39089+12457+497+1407+378+156+1775+429+525</f>
        <v>56713</v>
      </c>
      <c r="AP137" s="269">
        <f>3631+1290+71+217+63+19+204+72+69</f>
        <v>5636</v>
      </c>
      <c r="AQ137" s="768">
        <f t="shared" si="40"/>
        <v>10.062633073101491</v>
      </c>
      <c r="AR137" s="316">
        <v>40928</v>
      </c>
      <c r="AS137" s="509" t="s">
        <v>349</v>
      </c>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row>
    <row r="138" spans="1:102" s="344" customFormat="1" ht="15.75" hidden="1">
      <c r="A138" s="368" t="s">
        <v>620</v>
      </c>
      <c r="B138" s="358"/>
      <c r="C138" s="352" t="s">
        <v>261</v>
      </c>
      <c r="D138" s="361" t="s">
        <v>223</v>
      </c>
      <c r="E138" s="359"/>
      <c r="F138" s="349"/>
      <c r="G138" s="360" t="s">
        <v>292</v>
      </c>
      <c r="H138" s="354" t="s">
        <v>55</v>
      </c>
      <c r="I138" s="357"/>
      <c r="J138" s="207" t="s">
        <v>465</v>
      </c>
      <c r="K138" s="66" t="s">
        <v>437</v>
      </c>
      <c r="L138" s="61" t="s">
        <v>186</v>
      </c>
      <c r="M138" s="66" t="s">
        <v>466</v>
      </c>
      <c r="N138" s="226">
        <v>39192</v>
      </c>
      <c r="O138" s="64" t="s">
        <v>53</v>
      </c>
      <c r="P138" s="263">
        <v>23</v>
      </c>
      <c r="Q138" s="264">
        <v>82</v>
      </c>
      <c r="R138" s="264">
        <v>1</v>
      </c>
      <c r="S138" s="732">
        <v>0</v>
      </c>
      <c r="T138" s="743">
        <v>0</v>
      </c>
      <c r="U138" s="732">
        <v>0</v>
      </c>
      <c r="V138" s="743">
        <v>0</v>
      </c>
      <c r="W138" s="732">
        <v>0</v>
      </c>
      <c r="X138" s="743">
        <v>0</v>
      </c>
      <c r="Y138" s="846">
        <f t="shared" si="41"/>
        <v>0</v>
      </c>
      <c r="Z138" s="847">
        <f t="shared" si="42"/>
        <v>0</v>
      </c>
      <c r="AA138" s="730">
        <f t="shared" si="53"/>
      </c>
      <c r="AB138" s="731">
        <f t="shared" si="54"/>
      </c>
      <c r="AC138" s="736"/>
      <c r="AD138" s="733">
        <f t="shared" si="43"/>
      </c>
      <c r="AE138" s="747">
        <f t="shared" si="47"/>
        <v>3003</v>
      </c>
      <c r="AF138" s="748">
        <f t="shared" si="48"/>
        <v>600</v>
      </c>
      <c r="AG138" s="756">
        <v>3003</v>
      </c>
      <c r="AH138" s="757">
        <v>600</v>
      </c>
      <c r="AI138" s="751">
        <f t="shared" si="49"/>
        <v>0</v>
      </c>
      <c r="AJ138" s="751">
        <f t="shared" si="50"/>
        <v>1</v>
      </c>
      <c r="AK138" s="748">
        <f t="shared" si="51"/>
        <v>7.317073170731708</v>
      </c>
      <c r="AL138" s="752">
        <f t="shared" si="52"/>
        <v>5.005</v>
      </c>
      <c r="AM138" s="758"/>
      <c r="AN138" s="751">
        <f t="shared" si="55"/>
      </c>
      <c r="AO138" s="268">
        <f>407730+156171.5+87089+48964+29084+13173.5+8330+7579.5+805.5+1100+1464+3021+264+123+23+430+70+2408+0.5+234+42+54+3003</f>
        <v>771163.5</v>
      </c>
      <c r="AP138" s="269">
        <f>48903+19527+11239+7709+5693+3389+1770+1751+250+248+325+755+88+19+3+86+14+602+39+7+9+600</f>
        <v>103026</v>
      </c>
      <c r="AQ138" s="768">
        <f t="shared" si="40"/>
        <v>7.485134820336614</v>
      </c>
      <c r="AR138" s="316">
        <v>40928</v>
      </c>
      <c r="AS138" s="509" t="s">
        <v>349</v>
      </c>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row>
    <row r="139" spans="1:102" s="344" customFormat="1" ht="15.75" hidden="1">
      <c r="A139" s="368" t="s">
        <v>621</v>
      </c>
      <c r="B139" s="348"/>
      <c r="C139" s="352" t="s">
        <v>261</v>
      </c>
      <c r="D139" s="349"/>
      <c r="E139" s="349"/>
      <c r="F139" s="349"/>
      <c r="G139" s="349"/>
      <c r="H139" s="349"/>
      <c r="I139" s="363"/>
      <c r="J139" s="214" t="s">
        <v>438</v>
      </c>
      <c r="K139" s="65" t="s">
        <v>440</v>
      </c>
      <c r="L139" s="61" t="s">
        <v>189</v>
      </c>
      <c r="M139" s="66" t="s">
        <v>439</v>
      </c>
      <c r="N139" s="225">
        <v>40844</v>
      </c>
      <c r="O139" s="64" t="s">
        <v>8</v>
      </c>
      <c r="P139" s="781">
        <v>29</v>
      </c>
      <c r="Q139" s="273">
        <v>1</v>
      </c>
      <c r="R139" s="273">
        <v>9</v>
      </c>
      <c r="S139" s="732">
        <v>0</v>
      </c>
      <c r="T139" s="743">
        <v>0</v>
      </c>
      <c r="U139" s="732">
        <v>0</v>
      </c>
      <c r="V139" s="743">
        <v>0</v>
      </c>
      <c r="W139" s="732">
        <v>0</v>
      </c>
      <c r="X139" s="743">
        <v>0</v>
      </c>
      <c r="Y139" s="846">
        <f t="shared" si="41"/>
        <v>0</v>
      </c>
      <c r="Z139" s="847">
        <f t="shared" si="42"/>
        <v>0</v>
      </c>
      <c r="AA139" s="730">
        <f t="shared" si="53"/>
      </c>
      <c r="AB139" s="731">
        <f t="shared" si="54"/>
      </c>
      <c r="AC139" s="736"/>
      <c r="AD139" s="733">
        <f t="shared" si="43"/>
      </c>
      <c r="AE139" s="747">
        <f t="shared" si="47"/>
        <v>680</v>
      </c>
      <c r="AF139" s="748">
        <f t="shared" si="48"/>
        <v>92</v>
      </c>
      <c r="AG139" s="762">
        <v>680</v>
      </c>
      <c r="AH139" s="763">
        <v>92</v>
      </c>
      <c r="AI139" s="751">
        <f t="shared" si="49"/>
        <v>0</v>
      </c>
      <c r="AJ139" s="751">
        <f t="shared" si="50"/>
        <v>1</v>
      </c>
      <c r="AK139" s="748">
        <f t="shared" si="51"/>
        <v>92</v>
      </c>
      <c r="AL139" s="752">
        <f t="shared" si="52"/>
        <v>7.391304347826087</v>
      </c>
      <c r="AM139" s="758"/>
      <c r="AN139" s="751">
        <f t="shared" si="55"/>
      </c>
      <c r="AO139" s="774">
        <v>343647</v>
      </c>
      <c r="AP139" s="775">
        <v>27776</v>
      </c>
      <c r="AQ139" s="768">
        <f aca="true" t="shared" si="56" ref="AQ139:AQ170">AO139/AP139</f>
        <v>12.372083813364055</v>
      </c>
      <c r="AR139" s="316">
        <v>40928</v>
      </c>
      <c r="AS139" s="509" t="s">
        <v>349</v>
      </c>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row>
    <row r="140" spans="1:102" s="344" customFormat="1" ht="15.75" hidden="1">
      <c r="A140" s="368" t="s">
        <v>622</v>
      </c>
      <c r="B140" s="348"/>
      <c r="C140" s="349"/>
      <c r="D140" s="361" t="s">
        <v>223</v>
      </c>
      <c r="E140" s="356">
        <v>3</v>
      </c>
      <c r="F140" s="349"/>
      <c r="G140" s="349"/>
      <c r="H140" s="354" t="s">
        <v>55</v>
      </c>
      <c r="I140" s="363"/>
      <c r="J140" s="214" t="s">
        <v>219</v>
      </c>
      <c r="K140" s="65" t="s">
        <v>183</v>
      </c>
      <c r="L140" s="61" t="s">
        <v>189</v>
      </c>
      <c r="M140" s="66" t="s">
        <v>181</v>
      </c>
      <c r="N140" s="225">
        <v>40907</v>
      </c>
      <c r="O140" s="64" t="s">
        <v>8</v>
      </c>
      <c r="P140" s="280">
        <v>73</v>
      </c>
      <c r="Q140" s="273">
        <v>32</v>
      </c>
      <c r="R140" s="273">
        <v>3</v>
      </c>
      <c r="S140" s="737">
        <v>0</v>
      </c>
      <c r="T140" s="738">
        <v>0</v>
      </c>
      <c r="U140" s="737">
        <v>0</v>
      </c>
      <c r="V140" s="738">
        <v>0</v>
      </c>
      <c r="W140" s="737">
        <v>0</v>
      </c>
      <c r="X140" s="738">
        <v>0</v>
      </c>
      <c r="Y140" s="846">
        <f t="shared" si="41"/>
        <v>0</v>
      </c>
      <c r="Z140" s="847">
        <f t="shared" si="42"/>
        <v>0</v>
      </c>
      <c r="AA140" s="730">
        <f t="shared" si="53"/>
      </c>
      <c r="AB140" s="731">
        <f t="shared" si="54"/>
      </c>
      <c r="AC140" s="736"/>
      <c r="AD140" s="733">
        <f t="shared" si="43"/>
      </c>
      <c r="AE140" s="747">
        <f t="shared" si="47"/>
        <v>324</v>
      </c>
      <c r="AF140" s="748">
        <f t="shared" si="48"/>
        <v>32</v>
      </c>
      <c r="AG140" s="762">
        <v>324</v>
      </c>
      <c r="AH140" s="763">
        <v>32</v>
      </c>
      <c r="AI140" s="751">
        <f t="shared" si="49"/>
        <v>0</v>
      </c>
      <c r="AJ140" s="751">
        <f t="shared" si="50"/>
        <v>1</v>
      </c>
      <c r="AK140" s="748">
        <f t="shared" si="51"/>
        <v>1</v>
      </c>
      <c r="AL140" s="752">
        <f t="shared" si="52"/>
        <v>10.125</v>
      </c>
      <c r="AM140" s="758">
        <v>21746</v>
      </c>
      <c r="AN140" s="751">
        <f t="shared" si="55"/>
        <v>-0.9851007081762163</v>
      </c>
      <c r="AO140" s="774">
        <v>141554</v>
      </c>
      <c r="AP140" s="775">
        <v>12703</v>
      </c>
      <c r="AQ140" s="768">
        <f t="shared" si="56"/>
        <v>11.143351964102967</v>
      </c>
      <c r="AR140" s="316">
        <v>40928</v>
      </c>
      <c r="AS140" s="509" t="s">
        <v>349</v>
      </c>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row>
    <row r="141" spans="1:102" s="344" customFormat="1" ht="15.75" hidden="1">
      <c r="A141" s="368" t="s">
        <v>628</v>
      </c>
      <c r="B141" s="348"/>
      <c r="C141" s="352" t="s">
        <v>261</v>
      </c>
      <c r="D141" s="349"/>
      <c r="E141" s="349"/>
      <c r="F141" s="369"/>
      <c r="G141" s="349"/>
      <c r="H141" s="350"/>
      <c r="I141" s="351"/>
      <c r="J141" s="211" t="s">
        <v>443</v>
      </c>
      <c r="K141" s="63" t="s">
        <v>460</v>
      </c>
      <c r="L141" s="63" t="s">
        <v>89</v>
      </c>
      <c r="M141" s="63" t="s">
        <v>451</v>
      </c>
      <c r="N141" s="225">
        <v>40648</v>
      </c>
      <c r="O141" s="64" t="s">
        <v>68</v>
      </c>
      <c r="P141" s="263">
        <v>72</v>
      </c>
      <c r="Q141" s="264">
        <v>1</v>
      </c>
      <c r="R141" s="264">
        <v>26</v>
      </c>
      <c r="S141" s="732">
        <v>0</v>
      </c>
      <c r="T141" s="743">
        <v>0</v>
      </c>
      <c r="U141" s="732">
        <v>0</v>
      </c>
      <c r="V141" s="743">
        <v>0</v>
      </c>
      <c r="W141" s="732">
        <v>0</v>
      </c>
      <c r="X141" s="743">
        <v>0</v>
      </c>
      <c r="Y141" s="846">
        <f aca="true" t="shared" si="57" ref="Y141:Y177">SUM(S141+U141+W141)</f>
        <v>0</v>
      </c>
      <c r="Z141" s="847">
        <f aca="true" t="shared" si="58" ref="Z141:Z177">T141+V141+X141</f>
        <v>0</v>
      </c>
      <c r="AA141" s="730">
        <f t="shared" si="53"/>
      </c>
      <c r="AB141" s="731">
        <f t="shared" si="54"/>
      </c>
      <c r="AC141" s="736"/>
      <c r="AD141" s="733">
        <f aca="true" t="shared" si="59" ref="AD141:AD172">IF(AC141&lt;&gt;0,-(AC141-Y141)/AC141,"")</f>
      </c>
      <c r="AE141" s="747">
        <f t="shared" si="47"/>
        <v>3801.5</v>
      </c>
      <c r="AF141" s="748">
        <f t="shared" si="48"/>
        <v>950</v>
      </c>
      <c r="AG141" s="764">
        <v>3801.5</v>
      </c>
      <c r="AH141" s="765">
        <v>950</v>
      </c>
      <c r="AI141" s="751">
        <f t="shared" si="49"/>
        <v>0</v>
      </c>
      <c r="AJ141" s="751">
        <f t="shared" si="50"/>
        <v>1</v>
      </c>
      <c r="AK141" s="748">
        <f t="shared" si="51"/>
        <v>950</v>
      </c>
      <c r="AL141" s="752">
        <f t="shared" si="52"/>
        <v>4.001578947368421</v>
      </c>
      <c r="AM141" s="753"/>
      <c r="AN141" s="751">
        <f t="shared" si="55"/>
      </c>
      <c r="AO141" s="497">
        <f>313705+218661+94172+73484.5+60319.5+15976+18868+7512+25645.5+15093+6591+2599+2683+1937.5+1629+2257+1715+1468+632+686+483+950+882+2440.5+336+3801.5</f>
        <v>874527</v>
      </c>
      <c r="AP141" s="498">
        <f>29673+21437+10530+10169+8845+2631+2981+1155+3600+2641+1030+393+512+262+251+329+256+223+101+108+77+153+142+619+90+950</f>
        <v>99158</v>
      </c>
      <c r="AQ141" s="768">
        <f t="shared" si="56"/>
        <v>8.819530446358337</v>
      </c>
      <c r="AR141" s="316">
        <v>40928</v>
      </c>
      <c r="AS141" s="509" t="s">
        <v>349</v>
      </c>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row>
    <row r="142" spans="1:102" s="344" customFormat="1" ht="15.75" hidden="1">
      <c r="A142" s="368" t="s">
        <v>642</v>
      </c>
      <c r="B142" s="348"/>
      <c r="C142" s="352" t="s">
        <v>261</v>
      </c>
      <c r="D142" s="361" t="s">
        <v>223</v>
      </c>
      <c r="E142" s="349"/>
      <c r="F142" s="369"/>
      <c r="G142" s="349"/>
      <c r="H142" s="350"/>
      <c r="I142" s="351"/>
      <c r="J142" s="211" t="s">
        <v>444</v>
      </c>
      <c r="K142" s="63" t="s">
        <v>461</v>
      </c>
      <c r="L142" s="63" t="s">
        <v>89</v>
      </c>
      <c r="M142" s="63" t="s">
        <v>452</v>
      </c>
      <c r="N142" s="225">
        <v>40781</v>
      </c>
      <c r="O142" s="64" t="s">
        <v>68</v>
      </c>
      <c r="P142" s="263">
        <v>96</v>
      </c>
      <c r="Q142" s="264">
        <v>1</v>
      </c>
      <c r="R142" s="264">
        <v>17</v>
      </c>
      <c r="S142" s="732">
        <v>0</v>
      </c>
      <c r="T142" s="743">
        <v>0</v>
      </c>
      <c r="U142" s="732">
        <v>0</v>
      </c>
      <c r="V142" s="743">
        <v>0</v>
      </c>
      <c r="W142" s="732">
        <v>0</v>
      </c>
      <c r="X142" s="743">
        <v>0</v>
      </c>
      <c r="Y142" s="846">
        <f t="shared" si="57"/>
        <v>0</v>
      </c>
      <c r="Z142" s="847">
        <f t="shared" si="58"/>
        <v>0</v>
      </c>
      <c r="AA142" s="730">
        <f t="shared" si="53"/>
      </c>
      <c r="AB142" s="731">
        <f t="shared" si="54"/>
      </c>
      <c r="AC142" s="736"/>
      <c r="AD142" s="733">
        <f t="shared" si="59"/>
      </c>
      <c r="AE142" s="747">
        <f t="shared" si="47"/>
        <v>3564</v>
      </c>
      <c r="AF142" s="748">
        <f t="shared" si="48"/>
        <v>892</v>
      </c>
      <c r="AG142" s="764">
        <v>3564</v>
      </c>
      <c r="AH142" s="765">
        <v>892</v>
      </c>
      <c r="AI142" s="751">
        <f t="shared" si="49"/>
        <v>0</v>
      </c>
      <c r="AJ142" s="751">
        <f t="shared" si="50"/>
        <v>1</v>
      </c>
      <c r="AK142" s="748">
        <f t="shared" si="51"/>
        <v>892</v>
      </c>
      <c r="AL142" s="752">
        <f t="shared" si="52"/>
        <v>3.995515695067265</v>
      </c>
      <c r="AM142" s="753"/>
      <c r="AN142" s="751">
        <f t="shared" si="55"/>
      </c>
      <c r="AO142" s="497">
        <f>29056+844874+618474.25+386880.75+207889+130968.5+129398.5+101615+71628.5+47296.5+22263.5+13505+4171.5+5940+3840+5098.5+8056+3564</f>
        <v>2634519.5</v>
      </c>
      <c r="AP142" s="498">
        <f>4385+80857+63348+40336+22079+15879+16790+12949+9380+7537+4227+2497+926+1486+944+1206+1963+892</f>
        <v>287681</v>
      </c>
      <c r="AQ142" s="768">
        <f t="shared" si="56"/>
        <v>9.157780666780218</v>
      </c>
      <c r="AR142" s="316">
        <v>40928</v>
      </c>
      <c r="AS142" s="509" t="s">
        <v>349</v>
      </c>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row>
    <row r="143" spans="1:102" s="344" customFormat="1" ht="15.75" hidden="1">
      <c r="A143" s="368" t="s">
        <v>643</v>
      </c>
      <c r="B143" s="348"/>
      <c r="C143" s="352" t="s">
        <v>261</v>
      </c>
      <c r="D143" s="349"/>
      <c r="E143" s="349"/>
      <c r="F143" s="349"/>
      <c r="G143" s="349"/>
      <c r="H143" s="354" t="s">
        <v>55</v>
      </c>
      <c r="I143" s="351"/>
      <c r="J143" s="211" t="s">
        <v>368</v>
      </c>
      <c r="K143" s="63" t="s">
        <v>367</v>
      </c>
      <c r="L143" s="63" t="s">
        <v>248</v>
      </c>
      <c r="M143" s="63" t="s">
        <v>363</v>
      </c>
      <c r="N143" s="225">
        <v>40746</v>
      </c>
      <c r="O143" s="64" t="s">
        <v>68</v>
      </c>
      <c r="P143" s="263">
        <v>1</v>
      </c>
      <c r="Q143" s="264">
        <v>1</v>
      </c>
      <c r="R143" s="264">
        <v>8</v>
      </c>
      <c r="S143" s="732">
        <v>0</v>
      </c>
      <c r="T143" s="743">
        <v>0</v>
      </c>
      <c r="U143" s="732">
        <v>0</v>
      </c>
      <c r="V143" s="743">
        <v>0</v>
      </c>
      <c r="W143" s="732">
        <v>0</v>
      </c>
      <c r="X143" s="743">
        <v>0</v>
      </c>
      <c r="Y143" s="846">
        <f t="shared" si="57"/>
        <v>0</v>
      </c>
      <c r="Z143" s="847">
        <f t="shared" si="58"/>
        <v>0</v>
      </c>
      <c r="AA143" s="730">
        <f t="shared" si="53"/>
      </c>
      <c r="AB143" s="731">
        <f t="shared" si="54"/>
      </c>
      <c r="AC143" s="736"/>
      <c r="AD143" s="733">
        <f t="shared" si="59"/>
      </c>
      <c r="AE143" s="747">
        <f t="shared" si="47"/>
        <v>2138.5</v>
      </c>
      <c r="AF143" s="748">
        <f t="shared" si="48"/>
        <v>535</v>
      </c>
      <c r="AG143" s="764">
        <v>2138.5</v>
      </c>
      <c r="AH143" s="765">
        <v>535</v>
      </c>
      <c r="AI143" s="751">
        <f t="shared" si="49"/>
        <v>0</v>
      </c>
      <c r="AJ143" s="751">
        <f t="shared" si="50"/>
        <v>1</v>
      </c>
      <c r="AK143" s="748">
        <f t="shared" si="51"/>
        <v>535</v>
      </c>
      <c r="AL143" s="752">
        <f t="shared" si="52"/>
        <v>3.997196261682243</v>
      </c>
      <c r="AM143" s="753"/>
      <c r="AN143" s="751">
        <f t="shared" si="55"/>
      </c>
      <c r="AO143" s="497">
        <f>5298+3611+922.5+907+181+268.5+2138.5+2138.5+2138.5+2138.5</f>
        <v>19742</v>
      </c>
      <c r="AP143" s="498">
        <f>334+225+67+122+18+21+535+535+535+535</f>
        <v>2927</v>
      </c>
      <c r="AQ143" s="768">
        <f t="shared" si="56"/>
        <v>6.744789887256577</v>
      </c>
      <c r="AR143" s="316">
        <v>40928</v>
      </c>
      <c r="AS143" s="509" t="s">
        <v>349</v>
      </c>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row>
    <row r="144" spans="1:102" s="344" customFormat="1" ht="15.75" hidden="1">
      <c r="A144" s="368" t="s">
        <v>644</v>
      </c>
      <c r="B144" s="348"/>
      <c r="C144" s="352" t="s">
        <v>261</v>
      </c>
      <c r="D144" s="349"/>
      <c r="E144" s="349"/>
      <c r="F144" s="369"/>
      <c r="G144" s="349"/>
      <c r="H144" s="350"/>
      <c r="I144" s="351"/>
      <c r="J144" s="211" t="s">
        <v>469</v>
      </c>
      <c r="K144" s="63" t="s">
        <v>463</v>
      </c>
      <c r="L144" s="63" t="s">
        <v>89</v>
      </c>
      <c r="M144" s="63" t="s">
        <v>457</v>
      </c>
      <c r="N144" s="225">
        <v>40837</v>
      </c>
      <c r="O144" s="64" t="s">
        <v>68</v>
      </c>
      <c r="P144" s="263">
        <v>10</v>
      </c>
      <c r="Q144" s="264">
        <v>1</v>
      </c>
      <c r="R144" s="264">
        <v>6</v>
      </c>
      <c r="S144" s="732">
        <v>0</v>
      </c>
      <c r="T144" s="743">
        <v>0</v>
      </c>
      <c r="U144" s="732">
        <v>0</v>
      </c>
      <c r="V144" s="743">
        <v>0</v>
      </c>
      <c r="W144" s="732">
        <v>0</v>
      </c>
      <c r="X144" s="743">
        <v>0</v>
      </c>
      <c r="Y144" s="846">
        <f t="shared" si="57"/>
        <v>0</v>
      </c>
      <c r="Z144" s="847">
        <f t="shared" si="58"/>
        <v>0</v>
      </c>
      <c r="AA144" s="730">
        <f t="shared" si="53"/>
      </c>
      <c r="AB144" s="731">
        <f t="shared" si="54"/>
      </c>
      <c r="AC144" s="736"/>
      <c r="AD144" s="733">
        <f t="shared" si="59"/>
      </c>
      <c r="AE144" s="747">
        <f t="shared" si="47"/>
        <v>519</v>
      </c>
      <c r="AF144" s="748">
        <f t="shared" si="48"/>
        <v>86</v>
      </c>
      <c r="AG144" s="764">
        <v>519</v>
      </c>
      <c r="AH144" s="765">
        <v>86</v>
      </c>
      <c r="AI144" s="751">
        <f t="shared" si="49"/>
        <v>0</v>
      </c>
      <c r="AJ144" s="751">
        <f t="shared" si="50"/>
        <v>1</v>
      </c>
      <c r="AK144" s="748">
        <f t="shared" si="51"/>
        <v>86</v>
      </c>
      <c r="AL144" s="752">
        <f t="shared" si="52"/>
        <v>6.034883720930233</v>
      </c>
      <c r="AM144" s="753"/>
      <c r="AN144" s="751">
        <f t="shared" si="55"/>
      </c>
      <c r="AO144" s="497">
        <f>10225+2950+986+451+172+519</f>
        <v>15303</v>
      </c>
      <c r="AP144" s="498">
        <f>1095+291+123+65+22+86</f>
        <v>1682</v>
      </c>
      <c r="AQ144" s="768">
        <f t="shared" si="56"/>
        <v>9.098097502972651</v>
      </c>
      <c r="AR144" s="316">
        <v>40928</v>
      </c>
      <c r="AS144" s="509" t="s">
        <v>349</v>
      </c>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row>
    <row r="145" spans="1:102" s="344" customFormat="1" ht="15.75" hidden="1">
      <c r="A145" s="368" t="s">
        <v>645</v>
      </c>
      <c r="B145" s="348"/>
      <c r="C145" s="352" t="s">
        <v>261</v>
      </c>
      <c r="D145" s="349"/>
      <c r="E145" s="349"/>
      <c r="F145" s="349"/>
      <c r="G145" s="349"/>
      <c r="H145" s="350"/>
      <c r="I145" s="350"/>
      <c r="J145" s="211" t="s">
        <v>154</v>
      </c>
      <c r="K145" s="61" t="s">
        <v>194</v>
      </c>
      <c r="L145" s="65" t="s">
        <v>79</v>
      </c>
      <c r="M145" s="63" t="s">
        <v>155</v>
      </c>
      <c r="N145" s="226">
        <v>40781</v>
      </c>
      <c r="O145" s="64" t="s">
        <v>68</v>
      </c>
      <c r="P145" s="263">
        <v>25</v>
      </c>
      <c r="Q145" s="264">
        <v>2</v>
      </c>
      <c r="R145" s="264">
        <v>17</v>
      </c>
      <c r="S145" s="732">
        <v>256</v>
      </c>
      <c r="T145" s="743">
        <v>41</v>
      </c>
      <c r="U145" s="732">
        <v>432</v>
      </c>
      <c r="V145" s="743">
        <v>68</v>
      </c>
      <c r="W145" s="732">
        <v>386</v>
      </c>
      <c r="X145" s="743">
        <v>59</v>
      </c>
      <c r="Y145" s="846">
        <f t="shared" si="57"/>
        <v>1074</v>
      </c>
      <c r="Z145" s="847">
        <f t="shared" si="58"/>
        <v>168</v>
      </c>
      <c r="AA145" s="730">
        <f t="shared" si="53"/>
        <v>84</v>
      </c>
      <c r="AB145" s="731">
        <f t="shared" si="54"/>
        <v>6.392857142857143</v>
      </c>
      <c r="AC145" s="736"/>
      <c r="AD145" s="733">
        <f t="shared" si="59"/>
      </c>
      <c r="AE145" s="747">
        <f t="shared" si="47"/>
        <v>-220</v>
      </c>
      <c r="AF145" s="748">
        <f t="shared" si="48"/>
        <v>-42</v>
      </c>
      <c r="AG145" s="764">
        <v>854</v>
      </c>
      <c r="AH145" s="765">
        <v>126</v>
      </c>
      <c r="AI145" s="751">
        <f t="shared" si="49"/>
        <v>1.3333333333333333</v>
      </c>
      <c r="AJ145" s="751">
        <f t="shared" si="50"/>
        <v>-0.3333333333333333</v>
      </c>
      <c r="AK145" s="748">
        <f t="shared" si="51"/>
        <v>63</v>
      </c>
      <c r="AL145" s="752">
        <f t="shared" si="52"/>
        <v>6.777777777777778</v>
      </c>
      <c r="AM145" s="753">
        <v>1705</v>
      </c>
      <c r="AN145" s="751">
        <f t="shared" si="55"/>
        <v>-0.4991202346041056</v>
      </c>
      <c r="AO145" s="497">
        <f>144733+112570+56967.5+34113.5+30823.5+33890.5+41306+25896.5+24762.5+2776+2376+588+744+1788+950.5+3841+1705+854</f>
        <v>520685.5</v>
      </c>
      <c r="AP145" s="498">
        <f>11669+10065+5619+3946+3929+4284+5351+3682+3657+420+594+249+124+397+237+653+271+126</f>
        <v>55273</v>
      </c>
      <c r="AQ145" s="768">
        <f t="shared" si="56"/>
        <v>9.420250393501348</v>
      </c>
      <c r="AR145" s="316">
        <v>40921</v>
      </c>
      <c r="AS145" s="509" t="s">
        <v>349</v>
      </c>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row>
    <row r="146" spans="1:102" s="344" customFormat="1" ht="15.75" hidden="1">
      <c r="A146" s="368" t="s">
        <v>646</v>
      </c>
      <c r="B146" s="349"/>
      <c r="C146" s="352" t="s">
        <v>261</v>
      </c>
      <c r="D146" s="361" t="s">
        <v>223</v>
      </c>
      <c r="E146" s="356">
        <v>3</v>
      </c>
      <c r="F146" s="364">
        <v>2</v>
      </c>
      <c r="G146" s="349"/>
      <c r="H146" s="349"/>
      <c r="I146" s="350"/>
      <c r="J146" s="209" t="s">
        <v>386</v>
      </c>
      <c r="K146" s="61" t="s">
        <v>91</v>
      </c>
      <c r="L146" s="68" t="s">
        <v>94</v>
      </c>
      <c r="M146" s="68" t="s">
        <v>389</v>
      </c>
      <c r="N146" s="225">
        <v>40802</v>
      </c>
      <c r="O146" s="64" t="s">
        <v>12</v>
      </c>
      <c r="P146" s="263">
        <v>139</v>
      </c>
      <c r="Q146" s="264">
        <v>1</v>
      </c>
      <c r="R146" s="264">
        <v>18</v>
      </c>
      <c r="S146" s="744">
        <v>171</v>
      </c>
      <c r="T146" s="745">
        <v>27</v>
      </c>
      <c r="U146" s="744">
        <v>171</v>
      </c>
      <c r="V146" s="745">
        <v>27</v>
      </c>
      <c r="W146" s="744">
        <v>171</v>
      </c>
      <c r="X146" s="745">
        <v>27</v>
      </c>
      <c r="Y146" s="846">
        <f t="shared" si="57"/>
        <v>513</v>
      </c>
      <c r="Z146" s="847">
        <f t="shared" si="58"/>
        <v>81</v>
      </c>
      <c r="AA146" s="730">
        <f t="shared" si="53"/>
        <v>81</v>
      </c>
      <c r="AB146" s="731">
        <f t="shared" si="54"/>
        <v>6.333333333333333</v>
      </c>
      <c r="AC146" s="736"/>
      <c r="AD146" s="733">
        <f t="shared" si="59"/>
      </c>
      <c r="AE146" s="747">
        <f t="shared" si="47"/>
        <v>684</v>
      </c>
      <c r="AF146" s="748">
        <f t="shared" si="48"/>
        <v>108</v>
      </c>
      <c r="AG146" s="756">
        <v>1197</v>
      </c>
      <c r="AH146" s="757">
        <v>189</v>
      </c>
      <c r="AI146" s="751">
        <f t="shared" si="49"/>
        <v>0.42857142857142855</v>
      </c>
      <c r="AJ146" s="751">
        <f t="shared" si="50"/>
        <v>0.5714285714285714</v>
      </c>
      <c r="AK146" s="748">
        <f t="shared" si="51"/>
        <v>189</v>
      </c>
      <c r="AL146" s="752">
        <f t="shared" si="52"/>
        <v>6.333333333333333</v>
      </c>
      <c r="AM146" s="758"/>
      <c r="AN146" s="751">
        <f t="shared" si="55"/>
      </c>
      <c r="AO146" s="268">
        <v>867262</v>
      </c>
      <c r="AP146" s="269">
        <v>93571</v>
      </c>
      <c r="AQ146" s="768">
        <f t="shared" si="56"/>
        <v>9.26849130606705</v>
      </c>
      <c r="AR146" s="316">
        <v>40921</v>
      </c>
      <c r="AS146" s="509" t="s">
        <v>349</v>
      </c>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row>
    <row r="147" spans="1:102" s="344" customFormat="1" ht="15.75" hidden="1">
      <c r="A147" s="368" t="s">
        <v>647</v>
      </c>
      <c r="B147" s="349"/>
      <c r="C147" s="352" t="s">
        <v>261</v>
      </c>
      <c r="D147" s="349"/>
      <c r="E147" s="349"/>
      <c r="F147" s="349"/>
      <c r="G147" s="355"/>
      <c r="H147" s="354" t="s">
        <v>55</v>
      </c>
      <c r="I147" s="348"/>
      <c r="J147" s="209" t="s">
        <v>197</v>
      </c>
      <c r="K147" s="61" t="s">
        <v>209</v>
      </c>
      <c r="L147" s="68" t="s">
        <v>94</v>
      </c>
      <c r="M147" s="68" t="s">
        <v>201</v>
      </c>
      <c r="N147" s="225">
        <v>40823</v>
      </c>
      <c r="O147" s="64" t="s">
        <v>12</v>
      </c>
      <c r="P147" s="263">
        <v>105</v>
      </c>
      <c r="Q147" s="264">
        <v>1</v>
      </c>
      <c r="R147" s="264">
        <v>15</v>
      </c>
      <c r="S147" s="744">
        <v>133</v>
      </c>
      <c r="T147" s="745">
        <v>19</v>
      </c>
      <c r="U147" s="744">
        <v>238</v>
      </c>
      <c r="V147" s="745">
        <v>34</v>
      </c>
      <c r="W147" s="744">
        <v>70</v>
      </c>
      <c r="X147" s="745">
        <v>10</v>
      </c>
      <c r="Y147" s="846">
        <f t="shared" si="57"/>
        <v>441</v>
      </c>
      <c r="Z147" s="847">
        <f t="shared" si="58"/>
        <v>63</v>
      </c>
      <c r="AA147" s="730">
        <f t="shared" si="53"/>
        <v>63</v>
      </c>
      <c r="AB147" s="731">
        <f t="shared" si="54"/>
        <v>7</v>
      </c>
      <c r="AC147" s="736"/>
      <c r="AD147" s="733">
        <f t="shared" si="59"/>
      </c>
      <c r="AE147" s="747">
        <f t="shared" si="47"/>
        <v>198</v>
      </c>
      <c r="AF147" s="748">
        <f t="shared" si="48"/>
        <v>30</v>
      </c>
      <c r="AG147" s="756">
        <v>639</v>
      </c>
      <c r="AH147" s="757">
        <v>93</v>
      </c>
      <c r="AI147" s="751">
        <f t="shared" si="49"/>
        <v>0.6774193548387096</v>
      </c>
      <c r="AJ147" s="751">
        <f t="shared" si="50"/>
        <v>0.3225806451612903</v>
      </c>
      <c r="AK147" s="748">
        <f t="shared" si="51"/>
        <v>93</v>
      </c>
      <c r="AL147" s="752">
        <f t="shared" si="52"/>
        <v>6.870967741935484</v>
      </c>
      <c r="AM147" s="758">
        <v>2631</v>
      </c>
      <c r="AN147" s="751">
        <f t="shared" si="55"/>
        <v>-0.7571265678449259</v>
      </c>
      <c r="AO147" s="268">
        <v>1141755</v>
      </c>
      <c r="AP147" s="269">
        <v>122736</v>
      </c>
      <c r="AQ147" s="768">
        <f t="shared" si="56"/>
        <v>9.302527375831051</v>
      </c>
      <c r="AR147" s="316">
        <v>40921</v>
      </c>
      <c r="AS147" s="509" t="s">
        <v>349</v>
      </c>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row>
    <row r="148" spans="1:102" s="344" customFormat="1" ht="15.75" hidden="1">
      <c r="A148" s="368" t="s">
        <v>651</v>
      </c>
      <c r="B148" s="349"/>
      <c r="C148" s="352" t="s">
        <v>261</v>
      </c>
      <c r="D148" s="355"/>
      <c r="E148" s="349"/>
      <c r="F148" s="349"/>
      <c r="G148" s="349"/>
      <c r="H148" s="349"/>
      <c r="I148" s="350"/>
      <c r="J148" s="209" t="s">
        <v>387</v>
      </c>
      <c r="K148" s="61" t="s">
        <v>83</v>
      </c>
      <c r="L148" s="68" t="s">
        <v>94</v>
      </c>
      <c r="M148" s="68" t="s">
        <v>388</v>
      </c>
      <c r="N148" s="225">
        <v>40851</v>
      </c>
      <c r="O148" s="64" t="s">
        <v>12</v>
      </c>
      <c r="P148" s="263">
        <v>72</v>
      </c>
      <c r="Q148" s="264">
        <v>1</v>
      </c>
      <c r="R148" s="264">
        <v>11</v>
      </c>
      <c r="S148" s="744">
        <v>60</v>
      </c>
      <c r="T148" s="745">
        <v>10</v>
      </c>
      <c r="U148" s="744">
        <v>144</v>
      </c>
      <c r="V148" s="745">
        <v>24</v>
      </c>
      <c r="W148" s="744">
        <v>126</v>
      </c>
      <c r="X148" s="745">
        <v>21</v>
      </c>
      <c r="Y148" s="846">
        <f t="shared" si="57"/>
        <v>330</v>
      </c>
      <c r="Z148" s="847">
        <f t="shared" si="58"/>
        <v>55</v>
      </c>
      <c r="AA148" s="730">
        <f t="shared" si="53"/>
        <v>55</v>
      </c>
      <c r="AB148" s="731">
        <f t="shared" si="54"/>
        <v>6</v>
      </c>
      <c r="AC148" s="736"/>
      <c r="AD148" s="733">
        <f t="shared" si="59"/>
      </c>
      <c r="AE148" s="747">
        <f t="shared" si="47"/>
        <v>282</v>
      </c>
      <c r="AF148" s="748">
        <f t="shared" si="48"/>
        <v>47</v>
      </c>
      <c r="AG148" s="756">
        <v>612</v>
      </c>
      <c r="AH148" s="757">
        <v>102</v>
      </c>
      <c r="AI148" s="751">
        <f t="shared" si="49"/>
        <v>0.5392156862745098</v>
      </c>
      <c r="AJ148" s="751">
        <f t="shared" si="50"/>
        <v>0.46078431372549017</v>
      </c>
      <c r="AK148" s="748">
        <f t="shared" si="51"/>
        <v>102</v>
      </c>
      <c r="AL148" s="752">
        <f t="shared" si="52"/>
        <v>6</v>
      </c>
      <c r="AM148" s="758"/>
      <c r="AN148" s="751">
        <f t="shared" si="55"/>
      </c>
      <c r="AO148" s="268">
        <v>1116374</v>
      </c>
      <c r="AP148" s="269">
        <v>103200</v>
      </c>
      <c r="AQ148" s="768">
        <f t="shared" si="56"/>
        <v>10.817577519379846</v>
      </c>
      <c r="AR148" s="316">
        <v>40921</v>
      </c>
      <c r="AS148" s="509" t="s">
        <v>349</v>
      </c>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row>
    <row r="149" spans="1:102" s="344" customFormat="1" ht="15.75" hidden="1">
      <c r="A149" s="368" t="s">
        <v>661</v>
      </c>
      <c r="B149" s="359"/>
      <c r="C149" s="352" t="s">
        <v>261</v>
      </c>
      <c r="D149" s="359"/>
      <c r="E149" s="356">
        <v>3</v>
      </c>
      <c r="F149" s="349"/>
      <c r="G149" s="360" t="s">
        <v>292</v>
      </c>
      <c r="H149" s="348"/>
      <c r="I149" s="351"/>
      <c r="J149" s="215" t="s">
        <v>57</v>
      </c>
      <c r="K149" s="61" t="s">
        <v>97</v>
      </c>
      <c r="L149" s="64" t="s">
        <v>95</v>
      </c>
      <c r="M149" s="64" t="s">
        <v>58</v>
      </c>
      <c r="N149" s="226">
        <v>40795</v>
      </c>
      <c r="O149" s="64" t="s">
        <v>10</v>
      </c>
      <c r="P149" s="272">
        <v>142</v>
      </c>
      <c r="Q149" s="277">
        <v>1</v>
      </c>
      <c r="R149" s="277">
        <v>19</v>
      </c>
      <c r="S149" s="737">
        <v>30</v>
      </c>
      <c r="T149" s="738">
        <v>5</v>
      </c>
      <c r="U149" s="737">
        <v>24</v>
      </c>
      <c r="V149" s="738">
        <v>4</v>
      </c>
      <c r="W149" s="737">
        <v>24</v>
      </c>
      <c r="X149" s="738">
        <v>4</v>
      </c>
      <c r="Y149" s="846">
        <f t="shared" si="57"/>
        <v>78</v>
      </c>
      <c r="Z149" s="847">
        <f t="shared" si="58"/>
        <v>13</v>
      </c>
      <c r="AA149" s="730">
        <f t="shared" si="53"/>
        <v>13</v>
      </c>
      <c r="AB149" s="731">
        <f t="shared" si="54"/>
        <v>6</v>
      </c>
      <c r="AC149" s="736"/>
      <c r="AD149" s="733">
        <f t="shared" si="59"/>
      </c>
      <c r="AE149" s="747">
        <f t="shared" si="47"/>
        <v>102</v>
      </c>
      <c r="AF149" s="748">
        <f t="shared" si="48"/>
        <v>17</v>
      </c>
      <c r="AG149" s="762">
        <v>180</v>
      </c>
      <c r="AH149" s="763">
        <v>30</v>
      </c>
      <c r="AI149" s="751">
        <f t="shared" si="49"/>
        <v>0.43333333333333335</v>
      </c>
      <c r="AJ149" s="751">
        <f t="shared" si="50"/>
        <v>0.5666666666666667</v>
      </c>
      <c r="AK149" s="748">
        <f t="shared" si="51"/>
        <v>30</v>
      </c>
      <c r="AL149" s="752">
        <f t="shared" si="52"/>
        <v>6</v>
      </c>
      <c r="AM149" s="753">
        <v>3430</v>
      </c>
      <c r="AN149" s="751">
        <f t="shared" si="55"/>
        <v>-0.9475218658892128</v>
      </c>
      <c r="AO149" s="774">
        <v>4017226</v>
      </c>
      <c r="AP149" s="775">
        <v>390877</v>
      </c>
      <c r="AQ149" s="768">
        <f t="shared" si="56"/>
        <v>10.277468359611847</v>
      </c>
      <c r="AR149" s="316">
        <v>40921</v>
      </c>
      <c r="AS149" s="509" t="s">
        <v>349</v>
      </c>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row>
    <row r="150" spans="1:102" s="344" customFormat="1" ht="15.75" hidden="1">
      <c r="A150" s="368" t="s">
        <v>662</v>
      </c>
      <c r="B150" s="348"/>
      <c r="C150" s="352" t="s">
        <v>261</v>
      </c>
      <c r="D150" s="349"/>
      <c r="E150" s="349"/>
      <c r="F150" s="349"/>
      <c r="G150" s="349"/>
      <c r="H150" s="350"/>
      <c r="I150" s="353" t="s">
        <v>54</v>
      </c>
      <c r="J150" s="211" t="s">
        <v>353</v>
      </c>
      <c r="K150" s="63" t="s">
        <v>364</v>
      </c>
      <c r="L150" s="65"/>
      <c r="M150" s="63" t="s">
        <v>353</v>
      </c>
      <c r="N150" s="225">
        <v>40676</v>
      </c>
      <c r="O150" s="64" t="s">
        <v>68</v>
      </c>
      <c r="P150" s="263">
        <v>11</v>
      </c>
      <c r="Q150" s="264">
        <v>1</v>
      </c>
      <c r="R150" s="264">
        <v>20</v>
      </c>
      <c r="S150" s="732">
        <v>0</v>
      </c>
      <c r="T150" s="743">
        <v>0</v>
      </c>
      <c r="U150" s="732">
        <v>0</v>
      </c>
      <c r="V150" s="743">
        <v>0</v>
      </c>
      <c r="W150" s="732">
        <v>0</v>
      </c>
      <c r="X150" s="743">
        <v>0</v>
      </c>
      <c r="Y150" s="846">
        <f t="shared" si="57"/>
        <v>0</v>
      </c>
      <c r="Z150" s="847">
        <f t="shared" si="58"/>
        <v>0</v>
      </c>
      <c r="AA150" s="730">
        <f t="shared" si="53"/>
      </c>
      <c r="AB150" s="731">
        <f t="shared" si="54"/>
      </c>
      <c r="AC150" s="736"/>
      <c r="AD150" s="733">
        <f t="shared" si="59"/>
      </c>
      <c r="AE150" s="747">
        <f t="shared" si="47"/>
        <v>2138.5</v>
      </c>
      <c r="AF150" s="748">
        <f t="shared" si="48"/>
        <v>535</v>
      </c>
      <c r="AG150" s="764">
        <v>2138.5</v>
      </c>
      <c r="AH150" s="765">
        <v>535</v>
      </c>
      <c r="AI150" s="751">
        <f t="shared" si="49"/>
        <v>0</v>
      </c>
      <c r="AJ150" s="751">
        <f t="shared" si="50"/>
        <v>1</v>
      </c>
      <c r="AK150" s="748">
        <f t="shared" si="51"/>
        <v>535</v>
      </c>
      <c r="AL150" s="752">
        <f t="shared" si="52"/>
        <v>3.997196261682243</v>
      </c>
      <c r="AM150" s="753">
        <v>3801.5</v>
      </c>
      <c r="AN150" s="751">
        <f t="shared" si="55"/>
        <v>-0.4374588978034986</v>
      </c>
      <c r="AO150" s="497">
        <f>19776.5+5289.5+3941.5+4149+6030.5+491+2263+886+669+235+576+182+578+116+1188+1782+1782+1782+1782+3801.5+2138.5</f>
        <v>59439</v>
      </c>
      <c r="AP150" s="498">
        <f>2214+710+772+646+1024+103+434+139+105+46+100+16+62+13+297+446+446+446+446+950+535</f>
        <v>9950</v>
      </c>
      <c r="AQ150" s="768">
        <f t="shared" si="56"/>
        <v>5.973768844221105</v>
      </c>
      <c r="AR150" s="316">
        <v>40921</v>
      </c>
      <c r="AS150" s="509" t="s">
        <v>349</v>
      </c>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row>
    <row r="151" spans="1:102" s="344" customFormat="1" ht="15.75" hidden="1">
      <c r="A151" s="368" t="s">
        <v>663</v>
      </c>
      <c r="B151" s="348"/>
      <c r="C151" s="352" t="s">
        <v>261</v>
      </c>
      <c r="D151" s="361" t="s">
        <v>223</v>
      </c>
      <c r="E151" s="349"/>
      <c r="F151" s="349"/>
      <c r="G151" s="349"/>
      <c r="H151" s="354" t="s">
        <v>55</v>
      </c>
      <c r="I151" s="351"/>
      <c r="J151" s="211" t="s">
        <v>400</v>
      </c>
      <c r="K151" s="63" t="s">
        <v>126</v>
      </c>
      <c r="L151" s="63" t="s">
        <v>89</v>
      </c>
      <c r="M151" s="63" t="s">
        <v>403</v>
      </c>
      <c r="N151" s="225">
        <v>40543</v>
      </c>
      <c r="O151" s="64" t="s">
        <v>68</v>
      </c>
      <c r="P151" s="263">
        <v>99</v>
      </c>
      <c r="Q151" s="264">
        <v>1</v>
      </c>
      <c r="R151" s="264">
        <v>26</v>
      </c>
      <c r="S151" s="732">
        <v>0</v>
      </c>
      <c r="T151" s="743">
        <v>0</v>
      </c>
      <c r="U151" s="732">
        <v>0</v>
      </c>
      <c r="V151" s="743">
        <v>0</v>
      </c>
      <c r="W151" s="732">
        <v>0</v>
      </c>
      <c r="X151" s="743">
        <v>0</v>
      </c>
      <c r="Y151" s="846">
        <f t="shared" si="57"/>
        <v>0</v>
      </c>
      <c r="Z151" s="847">
        <f t="shared" si="58"/>
        <v>0</v>
      </c>
      <c r="AA151" s="730">
        <f t="shared" si="53"/>
      </c>
      <c r="AB151" s="731">
        <f t="shared" si="54"/>
      </c>
      <c r="AC151" s="736"/>
      <c r="AD151" s="733">
        <f t="shared" si="59"/>
      </c>
      <c r="AE151" s="747">
        <f aca="true" t="shared" si="60" ref="AE151:AE177">AG151-Y151</f>
        <v>1782</v>
      </c>
      <c r="AF151" s="748">
        <f aca="true" t="shared" si="61" ref="AF151:AF177">AH151-Z151</f>
        <v>356</v>
      </c>
      <c r="AG151" s="764">
        <v>1782</v>
      </c>
      <c r="AH151" s="765">
        <v>356</v>
      </c>
      <c r="AI151" s="751">
        <f aca="true" t="shared" si="62" ref="AI151:AI182">Z151*1/AH151</f>
        <v>0</v>
      </c>
      <c r="AJ151" s="751">
        <f aca="true" t="shared" si="63" ref="AJ151:AJ177">AF151*1/AH151</f>
        <v>1</v>
      </c>
      <c r="AK151" s="748">
        <f aca="true" t="shared" si="64" ref="AK151:AK177">AH151/Q151</f>
        <v>356</v>
      </c>
      <c r="AL151" s="752">
        <f aca="true" t="shared" si="65" ref="AL151:AL177">AG151/AH151</f>
        <v>5.00561797752809</v>
      </c>
      <c r="AM151" s="753"/>
      <c r="AN151" s="751">
        <f t="shared" si="55"/>
      </c>
      <c r="AO151" s="497">
        <f>74157.5+721285.5+410076+112730.5+28262.5+6646+19483.5+940+1245+2674.5+7128+1782+331+245+6545.5+694+1782+1782+1782+1188+306+1188+3340+316+713+2376+1425.5+1782</f>
        <v>1412207</v>
      </c>
      <c r="AP151" s="498">
        <f>7361+62279+35611+10987+4077+689+3901+125+178+502+1781+445+78+59+1496+114+446+446+446+297+61+297+668+53+178+594+356+356</f>
        <v>133881</v>
      </c>
      <c r="AQ151" s="768">
        <f t="shared" si="56"/>
        <v>10.548225663088862</v>
      </c>
      <c r="AR151" s="316">
        <v>40921</v>
      </c>
      <c r="AS151" s="509" t="s">
        <v>349</v>
      </c>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row>
    <row r="152" spans="1:102" s="344" customFormat="1" ht="15.75" hidden="1">
      <c r="A152" s="368" t="s">
        <v>682</v>
      </c>
      <c r="B152" s="348"/>
      <c r="C152" s="352" t="s">
        <v>261</v>
      </c>
      <c r="D152" s="349"/>
      <c r="E152" s="349"/>
      <c r="F152" s="349"/>
      <c r="G152" s="349"/>
      <c r="H152" s="350"/>
      <c r="I152" s="351"/>
      <c r="J152" s="211" t="s">
        <v>401</v>
      </c>
      <c r="K152" s="63" t="s">
        <v>404</v>
      </c>
      <c r="L152" s="63" t="s">
        <v>248</v>
      </c>
      <c r="M152" s="63" t="s">
        <v>402</v>
      </c>
      <c r="N152" s="225">
        <v>40746</v>
      </c>
      <c r="O152" s="64" t="s">
        <v>68</v>
      </c>
      <c r="P152" s="263">
        <v>5</v>
      </c>
      <c r="Q152" s="264">
        <v>1</v>
      </c>
      <c r="R152" s="264">
        <v>15</v>
      </c>
      <c r="S152" s="732">
        <v>0</v>
      </c>
      <c r="T152" s="743">
        <v>0</v>
      </c>
      <c r="U152" s="732">
        <v>0</v>
      </c>
      <c r="V152" s="743">
        <v>0</v>
      </c>
      <c r="W152" s="732">
        <v>0</v>
      </c>
      <c r="X152" s="743">
        <v>0</v>
      </c>
      <c r="Y152" s="846">
        <f t="shared" si="57"/>
        <v>0</v>
      </c>
      <c r="Z152" s="847">
        <f t="shared" si="58"/>
        <v>0</v>
      </c>
      <c r="AA152" s="730">
        <f t="shared" si="53"/>
      </c>
      <c r="AB152" s="731">
        <f t="shared" si="54"/>
      </c>
      <c r="AC152" s="736"/>
      <c r="AD152" s="733">
        <f t="shared" si="59"/>
      </c>
      <c r="AE152" s="747">
        <f t="shared" si="60"/>
        <v>264</v>
      </c>
      <c r="AF152" s="748">
        <f t="shared" si="61"/>
        <v>44</v>
      </c>
      <c r="AG152" s="764">
        <v>264</v>
      </c>
      <c r="AH152" s="765">
        <v>44</v>
      </c>
      <c r="AI152" s="751">
        <f t="shared" si="62"/>
        <v>0</v>
      </c>
      <c r="AJ152" s="751">
        <f t="shared" si="63"/>
        <v>1</v>
      </c>
      <c r="AK152" s="748">
        <f t="shared" si="64"/>
        <v>44</v>
      </c>
      <c r="AL152" s="752">
        <f t="shared" si="65"/>
        <v>6</v>
      </c>
      <c r="AM152" s="753"/>
      <c r="AN152" s="751">
        <f t="shared" si="55"/>
      </c>
      <c r="AO152" s="497">
        <f>15287.5+10909.5+3453.5+1267.5+1495+5972+1476+196+990+2893+1323+722+1782+684+264</f>
        <v>48715</v>
      </c>
      <c r="AP152" s="498">
        <f>1370+1093+336+155+192+663+166+28+134+385+183+184+446+80+44</f>
        <v>5459</v>
      </c>
      <c r="AQ152" s="768">
        <f t="shared" si="56"/>
        <v>8.923795566953654</v>
      </c>
      <c r="AR152" s="316">
        <v>40921</v>
      </c>
      <c r="AS152" s="509" t="s">
        <v>349</v>
      </c>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row>
    <row r="153" spans="1:102" s="344" customFormat="1" ht="15.75" hidden="1">
      <c r="A153" s="368" t="s">
        <v>683</v>
      </c>
      <c r="B153" s="358"/>
      <c r="C153" s="352" t="s">
        <v>261</v>
      </c>
      <c r="D153" s="359"/>
      <c r="E153" s="359"/>
      <c r="F153" s="349"/>
      <c r="G153" s="359"/>
      <c r="H153" s="350"/>
      <c r="I153" s="353" t="s">
        <v>54</v>
      </c>
      <c r="J153" s="207" t="s">
        <v>335</v>
      </c>
      <c r="K153" s="66" t="s">
        <v>338</v>
      </c>
      <c r="L153" s="61"/>
      <c r="M153" s="66" t="s">
        <v>335</v>
      </c>
      <c r="N153" s="225">
        <v>40830</v>
      </c>
      <c r="O153" s="64" t="s">
        <v>53</v>
      </c>
      <c r="P153" s="280">
        <v>142</v>
      </c>
      <c r="Q153" s="281">
        <v>1</v>
      </c>
      <c r="R153" s="281">
        <v>12</v>
      </c>
      <c r="S153" s="744">
        <v>652</v>
      </c>
      <c r="T153" s="745">
        <v>130</v>
      </c>
      <c r="U153" s="744">
        <v>750</v>
      </c>
      <c r="V153" s="745">
        <v>150</v>
      </c>
      <c r="W153" s="744">
        <v>1000</v>
      </c>
      <c r="X153" s="745">
        <v>200</v>
      </c>
      <c r="Y153" s="846">
        <f t="shared" si="57"/>
        <v>2402</v>
      </c>
      <c r="Z153" s="847">
        <f t="shared" si="58"/>
        <v>480</v>
      </c>
      <c r="AA153" s="730">
        <f t="shared" si="53"/>
        <v>480</v>
      </c>
      <c r="AB153" s="731">
        <f t="shared" si="54"/>
        <v>5.004166666666666</v>
      </c>
      <c r="AC153" s="736"/>
      <c r="AD153" s="733">
        <f t="shared" si="59"/>
      </c>
      <c r="AE153" s="747">
        <f t="shared" si="60"/>
        <v>0</v>
      </c>
      <c r="AF153" s="748">
        <f t="shared" si="61"/>
        <v>0</v>
      </c>
      <c r="AG153" s="756">
        <v>2402</v>
      </c>
      <c r="AH153" s="757">
        <v>480</v>
      </c>
      <c r="AI153" s="751">
        <f t="shared" si="62"/>
        <v>1</v>
      </c>
      <c r="AJ153" s="751">
        <f t="shared" si="63"/>
        <v>0</v>
      </c>
      <c r="AK153" s="748">
        <f t="shared" si="64"/>
        <v>480</v>
      </c>
      <c r="AL153" s="752">
        <f t="shared" si="65"/>
        <v>5.004166666666666</v>
      </c>
      <c r="AM153" s="758">
        <v>2402</v>
      </c>
      <c r="AN153" s="751">
        <f t="shared" si="55"/>
        <v>0</v>
      </c>
      <c r="AO153" s="268">
        <f>248732+139942.5+41015.5+4968+2270+1973+10279+6007+1097+295+261+2402</f>
        <v>459242</v>
      </c>
      <c r="AP153" s="269">
        <f>33636+19210+5940+800+378+422+1552+983+159+45+36+480</f>
        <v>63641</v>
      </c>
      <c r="AQ153" s="768">
        <f t="shared" si="56"/>
        <v>7.216134253075848</v>
      </c>
      <c r="AR153" s="316">
        <v>40914</v>
      </c>
      <c r="AS153" s="509" t="s">
        <v>349</v>
      </c>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row>
    <row r="154" spans="1:102" s="344" customFormat="1" ht="15.75" hidden="1">
      <c r="A154" s="368" t="s">
        <v>684</v>
      </c>
      <c r="B154" s="358"/>
      <c r="C154" s="352" t="s">
        <v>261</v>
      </c>
      <c r="D154" s="359"/>
      <c r="E154" s="359"/>
      <c r="F154" s="349"/>
      <c r="G154" s="359"/>
      <c r="H154" s="350"/>
      <c r="I154" s="353" t="s">
        <v>54</v>
      </c>
      <c r="J154" s="207" t="s">
        <v>66</v>
      </c>
      <c r="K154" s="66" t="s">
        <v>81</v>
      </c>
      <c r="L154" s="66"/>
      <c r="M154" s="66" t="s">
        <v>66</v>
      </c>
      <c r="N154" s="225">
        <v>40844</v>
      </c>
      <c r="O154" s="64" t="s">
        <v>53</v>
      </c>
      <c r="P154" s="272">
        <v>245</v>
      </c>
      <c r="Q154" s="281">
        <v>1</v>
      </c>
      <c r="R154" s="281">
        <v>11</v>
      </c>
      <c r="S154" s="744">
        <v>14</v>
      </c>
      <c r="T154" s="745">
        <v>2</v>
      </c>
      <c r="U154" s="744">
        <v>195</v>
      </c>
      <c r="V154" s="745">
        <v>32</v>
      </c>
      <c r="W154" s="744">
        <v>142</v>
      </c>
      <c r="X154" s="745">
        <v>22</v>
      </c>
      <c r="Y154" s="846">
        <f t="shared" si="57"/>
        <v>351</v>
      </c>
      <c r="Z154" s="847">
        <f t="shared" si="58"/>
        <v>56</v>
      </c>
      <c r="AA154" s="730">
        <f t="shared" si="53"/>
        <v>56</v>
      </c>
      <c r="AB154" s="731">
        <f t="shared" si="54"/>
        <v>6.267857142857143</v>
      </c>
      <c r="AC154" s="736"/>
      <c r="AD154" s="733">
        <f t="shared" si="59"/>
      </c>
      <c r="AE154" s="747">
        <f t="shared" si="60"/>
        <v>222</v>
      </c>
      <c r="AF154" s="748">
        <f t="shared" si="61"/>
        <v>38</v>
      </c>
      <c r="AG154" s="756">
        <v>573</v>
      </c>
      <c r="AH154" s="757">
        <v>94</v>
      </c>
      <c r="AI154" s="751">
        <f t="shared" si="62"/>
        <v>0.5957446808510638</v>
      </c>
      <c r="AJ154" s="751">
        <f t="shared" si="63"/>
        <v>0.40425531914893614</v>
      </c>
      <c r="AK154" s="748">
        <f t="shared" si="64"/>
        <v>94</v>
      </c>
      <c r="AL154" s="752">
        <f t="shared" si="65"/>
        <v>6.095744680851064</v>
      </c>
      <c r="AM154" s="758">
        <v>573</v>
      </c>
      <c r="AN154" s="751">
        <f t="shared" si="55"/>
        <v>0</v>
      </c>
      <c r="AO154" s="268">
        <f>2095427.5+1865707+650031+295029.5+57559.5+69427+8354+22014.5+2923+1680+573</f>
        <v>5068726</v>
      </c>
      <c r="AP154" s="269">
        <f>212522+189875+68849+32548+6112+10910+1695+4739+564+262+94</f>
        <v>528170</v>
      </c>
      <c r="AQ154" s="768">
        <f t="shared" si="56"/>
        <v>9.596769979362705</v>
      </c>
      <c r="AR154" s="316">
        <v>40914</v>
      </c>
      <c r="AS154" s="509" t="s">
        <v>349</v>
      </c>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row>
    <row r="155" spans="1:102" s="344" customFormat="1" ht="15.75" hidden="1">
      <c r="A155" s="368" t="s">
        <v>685</v>
      </c>
      <c r="B155" s="349"/>
      <c r="C155" s="352" t="s">
        <v>261</v>
      </c>
      <c r="D155" s="361" t="s">
        <v>223</v>
      </c>
      <c r="E155" s="350"/>
      <c r="F155" s="364">
        <v>2</v>
      </c>
      <c r="G155" s="349"/>
      <c r="H155" s="349"/>
      <c r="I155" s="350"/>
      <c r="J155" s="209" t="s">
        <v>346</v>
      </c>
      <c r="K155" s="61" t="s">
        <v>91</v>
      </c>
      <c r="L155" s="68" t="s">
        <v>94</v>
      </c>
      <c r="M155" s="68" t="s">
        <v>346</v>
      </c>
      <c r="N155" s="225">
        <v>40648</v>
      </c>
      <c r="O155" s="64" t="s">
        <v>12</v>
      </c>
      <c r="P155" s="263">
        <v>151</v>
      </c>
      <c r="Q155" s="264">
        <v>1</v>
      </c>
      <c r="R155" s="264">
        <v>30</v>
      </c>
      <c r="S155" s="744">
        <v>75</v>
      </c>
      <c r="T155" s="745">
        <v>15</v>
      </c>
      <c r="U155" s="744">
        <v>60</v>
      </c>
      <c r="V155" s="745">
        <v>12</v>
      </c>
      <c r="W155" s="744">
        <v>25</v>
      </c>
      <c r="X155" s="745">
        <v>5</v>
      </c>
      <c r="Y155" s="846">
        <f t="shared" si="57"/>
        <v>160</v>
      </c>
      <c r="Z155" s="847">
        <f t="shared" si="58"/>
        <v>32</v>
      </c>
      <c r="AA155" s="730">
        <f t="shared" si="53"/>
        <v>32</v>
      </c>
      <c r="AB155" s="731">
        <f t="shared" si="54"/>
        <v>5</v>
      </c>
      <c r="AC155" s="736"/>
      <c r="AD155" s="733">
        <f t="shared" si="59"/>
      </c>
      <c r="AE155" s="747">
        <f t="shared" si="60"/>
        <v>455</v>
      </c>
      <c r="AF155" s="748">
        <f t="shared" si="61"/>
        <v>91</v>
      </c>
      <c r="AG155" s="756">
        <v>615</v>
      </c>
      <c r="AH155" s="757">
        <v>123</v>
      </c>
      <c r="AI155" s="751">
        <f t="shared" si="62"/>
        <v>0.2601626016260163</v>
      </c>
      <c r="AJ155" s="751">
        <f t="shared" si="63"/>
        <v>0.7398373983739838</v>
      </c>
      <c r="AK155" s="748">
        <f t="shared" si="64"/>
        <v>123</v>
      </c>
      <c r="AL155" s="752">
        <f t="shared" si="65"/>
        <v>5</v>
      </c>
      <c r="AM155" s="758">
        <v>615</v>
      </c>
      <c r="AN155" s="751">
        <f t="shared" si="55"/>
        <v>0</v>
      </c>
      <c r="AO155" s="268">
        <v>1956708</v>
      </c>
      <c r="AP155" s="269">
        <v>218938</v>
      </c>
      <c r="AQ155" s="768">
        <f t="shared" si="56"/>
        <v>8.93726991202989</v>
      </c>
      <c r="AR155" s="316">
        <v>40914</v>
      </c>
      <c r="AS155" s="509" t="s">
        <v>349</v>
      </c>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row>
    <row r="156" spans="1:102" s="344" customFormat="1" ht="15.75" hidden="1">
      <c r="A156" s="368" t="s">
        <v>686</v>
      </c>
      <c r="B156" s="349"/>
      <c r="C156" s="352" t="s">
        <v>261</v>
      </c>
      <c r="D156" s="349"/>
      <c r="E156" s="349"/>
      <c r="F156" s="349"/>
      <c r="G156" s="349"/>
      <c r="H156" s="350"/>
      <c r="I156" s="350"/>
      <c r="J156" s="396" t="s">
        <v>543</v>
      </c>
      <c r="K156" s="64" t="s">
        <v>544</v>
      </c>
      <c r="L156" s="64" t="s">
        <v>79</v>
      </c>
      <c r="M156" s="64" t="s">
        <v>545</v>
      </c>
      <c r="N156" s="225">
        <v>40774</v>
      </c>
      <c r="O156" s="64" t="s">
        <v>13</v>
      </c>
      <c r="P156" s="263">
        <v>7</v>
      </c>
      <c r="Q156" s="264">
        <v>1</v>
      </c>
      <c r="R156" s="264">
        <v>17</v>
      </c>
      <c r="S156" s="728">
        <v>18</v>
      </c>
      <c r="T156" s="729">
        <v>3</v>
      </c>
      <c r="U156" s="728">
        <v>91</v>
      </c>
      <c r="V156" s="729">
        <v>15</v>
      </c>
      <c r="W156" s="728">
        <v>37</v>
      </c>
      <c r="X156" s="729">
        <v>6</v>
      </c>
      <c r="Y156" s="846">
        <f t="shared" si="57"/>
        <v>146</v>
      </c>
      <c r="Z156" s="847">
        <f t="shared" si="58"/>
        <v>24</v>
      </c>
      <c r="AA156" s="730">
        <f t="shared" si="53"/>
        <v>24</v>
      </c>
      <c r="AB156" s="731">
        <f t="shared" si="54"/>
        <v>6.083333333333333</v>
      </c>
      <c r="AC156" s="736"/>
      <c r="AD156" s="733">
        <f t="shared" si="59"/>
      </c>
      <c r="AE156" s="747">
        <f t="shared" si="60"/>
        <v>180</v>
      </c>
      <c r="AF156" s="748">
        <f t="shared" si="61"/>
        <v>30</v>
      </c>
      <c r="AG156" s="756">
        <v>326</v>
      </c>
      <c r="AH156" s="757">
        <v>54</v>
      </c>
      <c r="AI156" s="751">
        <f t="shared" si="62"/>
        <v>0.4444444444444444</v>
      </c>
      <c r="AJ156" s="751">
        <f t="shared" si="63"/>
        <v>0.5555555555555556</v>
      </c>
      <c r="AK156" s="748">
        <f t="shared" si="64"/>
        <v>54</v>
      </c>
      <c r="AL156" s="752">
        <f t="shared" si="65"/>
        <v>6.037037037037037</v>
      </c>
      <c r="AM156" s="758">
        <v>326</v>
      </c>
      <c r="AN156" s="751">
        <f t="shared" si="55"/>
        <v>0</v>
      </c>
      <c r="AO156" s="268">
        <v>139204</v>
      </c>
      <c r="AP156" s="269">
        <v>17398</v>
      </c>
      <c r="AQ156" s="768">
        <f t="shared" si="56"/>
        <v>8.001149557420392</v>
      </c>
      <c r="AR156" s="316">
        <v>40914</v>
      </c>
      <c r="AS156" s="509" t="s">
        <v>349</v>
      </c>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row>
    <row r="157" spans="1:102" s="344" customFormat="1" ht="15.75" hidden="1">
      <c r="A157" s="368" t="s">
        <v>687</v>
      </c>
      <c r="B157" s="348"/>
      <c r="C157" s="349"/>
      <c r="D157" s="349"/>
      <c r="E157" s="349"/>
      <c r="F157" s="349"/>
      <c r="G157" s="349"/>
      <c r="H157" s="354" t="s">
        <v>55</v>
      </c>
      <c r="I157" s="350"/>
      <c r="J157" s="215" t="s">
        <v>157</v>
      </c>
      <c r="K157" s="64" t="s">
        <v>163</v>
      </c>
      <c r="L157" s="64" t="s">
        <v>128</v>
      </c>
      <c r="M157" s="64" t="s">
        <v>160</v>
      </c>
      <c r="N157" s="225">
        <v>40907</v>
      </c>
      <c r="O157" s="64" t="s">
        <v>13</v>
      </c>
      <c r="P157" s="263">
        <v>2</v>
      </c>
      <c r="Q157" s="264">
        <v>1</v>
      </c>
      <c r="R157" s="264">
        <v>2</v>
      </c>
      <c r="S157" s="728">
        <v>74</v>
      </c>
      <c r="T157" s="729">
        <v>7</v>
      </c>
      <c r="U157" s="728">
        <v>46</v>
      </c>
      <c r="V157" s="729">
        <v>4</v>
      </c>
      <c r="W157" s="728">
        <v>0</v>
      </c>
      <c r="X157" s="729">
        <v>0</v>
      </c>
      <c r="Y157" s="846">
        <f t="shared" si="57"/>
        <v>120</v>
      </c>
      <c r="Z157" s="847">
        <f t="shared" si="58"/>
        <v>11</v>
      </c>
      <c r="AA157" s="730">
        <f aca="true" t="shared" si="66" ref="AA157:AA188">IF(Y157&lt;&gt;0,Z157/Q157,"")</f>
        <v>11</v>
      </c>
      <c r="AB157" s="731">
        <f aca="true" t="shared" si="67" ref="AB157:AB178">IF(Y157&lt;&gt;0,Y157/Z157,"")</f>
        <v>10.909090909090908</v>
      </c>
      <c r="AC157" s="736"/>
      <c r="AD157" s="733">
        <f t="shared" si="59"/>
      </c>
      <c r="AE157" s="747">
        <f t="shared" si="60"/>
        <v>0</v>
      </c>
      <c r="AF157" s="748">
        <f t="shared" si="61"/>
        <v>0</v>
      </c>
      <c r="AG157" s="756">
        <v>120</v>
      </c>
      <c r="AH157" s="757">
        <v>11</v>
      </c>
      <c r="AI157" s="751">
        <f t="shared" si="62"/>
        <v>1</v>
      </c>
      <c r="AJ157" s="751">
        <f t="shared" si="63"/>
        <v>0</v>
      </c>
      <c r="AK157" s="748">
        <f t="shared" si="64"/>
        <v>11</v>
      </c>
      <c r="AL157" s="752">
        <f t="shared" si="65"/>
        <v>10.909090909090908</v>
      </c>
      <c r="AM157" s="758">
        <v>120</v>
      </c>
      <c r="AN157" s="751">
        <f aca="true" t="shared" si="68" ref="AN157:AN188">IF(AM157&lt;&gt;0,-(AM157-AG157)/AM157,"")</f>
        <v>0</v>
      </c>
      <c r="AO157" s="268">
        <v>2965</v>
      </c>
      <c r="AP157" s="269">
        <v>448</v>
      </c>
      <c r="AQ157" s="768">
        <f t="shared" si="56"/>
        <v>6.618303571428571</v>
      </c>
      <c r="AR157" s="316">
        <v>40914</v>
      </c>
      <c r="AS157" s="509" t="s">
        <v>349</v>
      </c>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row>
    <row r="158" spans="1:102" s="344" customFormat="1" ht="15.75" hidden="1">
      <c r="A158" s="368" t="s">
        <v>688</v>
      </c>
      <c r="B158" s="348"/>
      <c r="C158" s="352" t="s">
        <v>261</v>
      </c>
      <c r="D158" s="349"/>
      <c r="E158" s="356">
        <v>3</v>
      </c>
      <c r="F158" s="349"/>
      <c r="G158" s="349"/>
      <c r="H158" s="350"/>
      <c r="I158" s="357"/>
      <c r="J158" s="213" t="s">
        <v>167</v>
      </c>
      <c r="K158" s="61" t="s">
        <v>170</v>
      </c>
      <c r="L158" s="67" t="s">
        <v>99</v>
      </c>
      <c r="M158" s="65" t="s">
        <v>169</v>
      </c>
      <c r="N158" s="226">
        <v>40872</v>
      </c>
      <c r="O158" s="64" t="s">
        <v>52</v>
      </c>
      <c r="P158" s="284">
        <v>21</v>
      </c>
      <c r="Q158" s="277">
        <v>1</v>
      </c>
      <c r="R158" s="277">
        <v>6</v>
      </c>
      <c r="S158" s="737">
        <v>14</v>
      </c>
      <c r="T158" s="738">
        <v>2</v>
      </c>
      <c r="U158" s="737">
        <v>0</v>
      </c>
      <c r="V158" s="738">
        <v>0</v>
      </c>
      <c r="W158" s="737">
        <v>84</v>
      </c>
      <c r="X158" s="738">
        <v>12</v>
      </c>
      <c r="Y158" s="846">
        <f t="shared" si="57"/>
        <v>98</v>
      </c>
      <c r="Z158" s="847">
        <f t="shared" si="58"/>
        <v>14</v>
      </c>
      <c r="AA158" s="730">
        <f t="shared" si="66"/>
        <v>14</v>
      </c>
      <c r="AB158" s="731">
        <f t="shared" si="67"/>
        <v>7</v>
      </c>
      <c r="AC158" s="736"/>
      <c r="AD158" s="733">
        <f t="shared" si="59"/>
      </c>
      <c r="AE158" s="747">
        <f t="shared" si="60"/>
        <v>146</v>
      </c>
      <c r="AF158" s="748">
        <f t="shared" si="61"/>
        <v>22</v>
      </c>
      <c r="AG158" s="760">
        <v>244</v>
      </c>
      <c r="AH158" s="761">
        <v>36</v>
      </c>
      <c r="AI158" s="751">
        <f t="shared" si="62"/>
        <v>0.3888888888888889</v>
      </c>
      <c r="AJ158" s="751">
        <f t="shared" si="63"/>
        <v>0.6111111111111112</v>
      </c>
      <c r="AK158" s="748">
        <f t="shared" si="64"/>
        <v>36</v>
      </c>
      <c r="AL158" s="752">
        <f t="shared" si="65"/>
        <v>6.777777777777778</v>
      </c>
      <c r="AM158" s="759">
        <v>244</v>
      </c>
      <c r="AN158" s="751">
        <f t="shared" si="68"/>
        <v>0</v>
      </c>
      <c r="AO158" s="771">
        <f>48871+740+512+11538+3616.5+244</f>
        <v>65521.5</v>
      </c>
      <c r="AP158" s="269">
        <f>5142+80+52+1109+459+36</f>
        <v>6878</v>
      </c>
      <c r="AQ158" s="768">
        <f t="shared" si="56"/>
        <v>9.526243093922652</v>
      </c>
      <c r="AR158" s="316">
        <v>40914</v>
      </c>
      <c r="AS158" s="509" t="s">
        <v>349</v>
      </c>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row>
    <row r="159" spans="1:102" s="344" customFormat="1" ht="15.75" hidden="1">
      <c r="A159" s="368" t="s">
        <v>707</v>
      </c>
      <c r="B159" s="349"/>
      <c r="C159" s="352" t="s">
        <v>261</v>
      </c>
      <c r="D159" s="359"/>
      <c r="E159" s="359"/>
      <c r="F159" s="349"/>
      <c r="G159" s="359"/>
      <c r="H159" s="350"/>
      <c r="I159" s="350"/>
      <c r="J159" s="207" t="s">
        <v>546</v>
      </c>
      <c r="K159" s="66" t="s">
        <v>96</v>
      </c>
      <c r="L159" s="64" t="s">
        <v>95</v>
      </c>
      <c r="M159" s="66" t="s">
        <v>547</v>
      </c>
      <c r="N159" s="225">
        <v>40837</v>
      </c>
      <c r="O159" s="64" t="s">
        <v>10</v>
      </c>
      <c r="P159" s="284">
        <v>79</v>
      </c>
      <c r="Q159" s="277">
        <v>1</v>
      </c>
      <c r="R159" s="277">
        <v>10</v>
      </c>
      <c r="S159" s="737">
        <v>0</v>
      </c>
      <c r="T159" s="738">
        <v>0</v>
      </c>
      <c r="U159" s="737">
        <v>35</v>
      </c>
      <c r="V159" s="738">
        <v>5</v>
      </c>
      <c r="W159" s="737">
        <v>0</v>
      </c>
      <c r="X159" s="738">
        <v>0</v>
      </c>
      <c r="Y159" s="846">
        <f t="shared" si="57"/>
        <v>35</v>
      </c>
      <c r="Z159" s="847">
        <f t="shared" si="58"/>
        <v>5</v>
      </c>
      <c r="AA159" s="730">
        <f t="shared" si="66"/>
        <v>5</v>
      </c>
      <c r="AB159" s="731">
        <f t="shared" si="67"/>
        <v>7</v>
      </c>
      <c r="AC159" s="736"/>
      <c r="AD159" s="733">
        <f t="shared" si="59"/>
      </c>
      <c r="AE159" s="747">
        <f t="shared" si="60"/>
        <v>86</v>
      </c>
      <c r="AF159" s="748">
        <f t="shared" si="61"/>
        <v>13</v>
      </c>
      <c r="AG159" s="762">
        <v>121</v>
      </c>
      <c r="AH159" s="763">
        <v>18</v>
      </c>
      <c r="AI159" s="751">
        <f t="shared" si="62"/>
        <v>0.2777777777777778</v>
      </c>
      <c r="AJ159" s="751">
        <f t="shared" si="63"/>
        <v>0.7222222222222222</v>
      </c>
      <c r="AK159" s="748">
        <f t="shared" si="64"/>
        <v>18</v>
      </c>
      <c r="AL159" s="752">
        <f t="shared" si="65"/>
        <v>6.722222222222222</v>
      </c>
      <c r="AM159" s="753">
        <v>121</v>
      </c>
      <c r="AN159" s="751">
        <f t="shared" si="68"/>
        <v>0</v>
      </c>
      <c r="AO159" s="774">
        <v>1094365</v>
      </c>
      <c r="AP159" s="775">
        <v>100179</v>
      </c>
      <c r="AQ159" s="768">
        <f t="shared" si="56"/>
        <v>10.924095868395572</v>
      </c>
      <c r="AR159" s="316">
        <v>40914</v>
      </c>
      <c r="AS159" s="509" t="s">
        <v>349</v>
      </c>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row>
    <row r="160" spans="1:102" s="344" customFormat="1" ht="15.75" hidden="1">
      <c r="A160" s="368" t="s">
        <v>708</v>
      </c>
      <c r="B160" s="348"/>
      <c r="C160" s="352" t="s">
        <v>261</v>
      </c>
      <c r="D160" s="349"/>
      <c r="E160" s="349"/>
      <c r="F160" s="349"/>
      <c r="G160" s="349"/>
      <c r="H160" s="350"/>
      <c r="I160" s="350"/>
      <c r="J160" s="396" t="s">
        <v>258</v>
      </c>
      <c r="K160" s="64" t="s">
        <v>259</v>
      </c>
      <c r="L160" s="64" t="s">
        <v>260</v>
      </c>
      <c r="M160" s="64" t="s">
        <v>239</v>
      </c>
      <c r="N160" s="225">
        <v>40725</v>
      </c>
      <c r="O160" s="64" t="s">
        <v>13</v>
      </c>
      <c r="P160" s="263">
        <v>3</v>
      </c>
      <c r="Q160" s="264">
        <v>1</v>
      </c>
      <c r="R160" s="264">
        <v>20</v>
      </c>
      <c r="S160" s="728">
        <v>0</v>
      </c>
      <c r="T160" s="729">
        <v>0</v>
      </c>
      <c r="U160" s="728">
        <v>0</v>
      </c>
      <c r="V160" s="729">
        <v>0</v>
      </c>
      <c r="W160" s="728">
        <v>0</v>
      </c>
      <c r="X160" s="729">
        <v>0</v>
      </c>
      <c r="Y160" s="846">
        <f t="shared" si="57"/>
        <v>0</v>
      </c>
      <c r="Z160" s="847">
        <f t="shared" si="58"/>
        <v>0</v>
      </c>
      <c r="AA160" s="730">
        <f t="shared" si="66"/>
      </c>
      <c r="AB160" s="731">
        <f t="shared" si="67"/>
      </c>
      <c r="AC160" s="736"/>
      <c r="AD160" s="733">
        <f t="shared" si="59"/>
      </c>
      <c r="AE160" s="747">
        <f t="shared" si="60"/>
        <v>2970</v>
      </c>
      <c r="AF160" s="748">
        <f t="shared" si="61"/>
        <v>594</v>
      </c>
      <c r="AG160" s="756">
        <v>2970</v>
      </c>
      <c r="AH160" s="757">
        <v>594</v>
      </c>
      <c r="AI160" s="751">
        <f t="shared" si="62"/>
        <v>0</v>
      </c>
      <c r="AJ160" s="751">
        <f t="shared" si="63"/>
        <v>1</v>
      </c>
      <c r="AK160" s="748">
        <f t="shared" si="64"/>
        <v>594</v>
      </c>
      <c r="AL160" s="752">
        <f t="shared" si="65"/>
        <v>5</v>
      </c>
      <c r="AM160" s="758">
        <v>2970</v>
      </c>
      <c r="AN160" s="751">
        <f t="shared" si="68"/>
        <v>0</v>
      </c>
      <c r="AO160" s="268">
        <v>65729</v>
      </c>
      <c r="AP160" s="269">
        <v>8049</v>
      </c>
      <c r="AQ160" s="768">
        <f t="shared" si="56"/>
        <v>8.166107591005094</v>
      </c>
      <c r="AR160" s="316">
        <v>40914</v>
      </c>
      <c r="AS160" s="509" t="s">
        <v>349</v>
      </c>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row>
    <row r="161" spans="1:102" s="344" customFormat="1" ht="15.75" hidden="1">
      <c r="A161" s="368" t="s">
        <v>709</v>
      </c>
      <c r="B161" s="348"/>
      <c r="C161" s="352" t="s">
        <v>261</v>
      </c>
      <c r="D161" s="361" t="s">
        <v>223</v>
      </c>
      <c r="E161" s="349"/>
      <c r="G161" s="360" t="s">
        <v>292</v>
      </c>
      <c r="H161" s="354" t="s">
        <v>55</v>
      </c>
      <c r="I161" s="351"/>
      <c r="J161" s="211" t="s">
        <v>358</v>
      </c>
      <c r="K161" s="63" t="s">
        <v>360</v>
      </c>
      <c r="L161" s="65" t="s">
        <v>89</v>
      </c>
      <c r="M161" s="63" t="s">
        <v>359</v>
      </c>
      <c r="N161" s="225">
        <v>39829</v>
      </c>
      <c r="O161" s="64" t="s">
        <v>68</v>
      </c>
      <c r="P161" s="263">
        <v>65</v>
      </c>
      <c r="Q161" s="264">
        <v>1</v>
      </c>
      <c r="R161" s="264">
        <v>44</v>
      </c>
      <c r="S161" s="732"/>
      <c r="T161" s="743"/>
      <c r="U161" s="732"/>
      <c r="V161" s="743"/>
      <c r="W161" s="732"/>
      <c r="X161" s="743"/>
      <c r="Y161" s="846">
        <f t="shared" si="57"/>
        <v>0</v>
      </c>
      <c r="Z161" s="847">
        <f t="shared" si="58"/>
        <v>0</v>
      </c>
      <c r="AA161" s="730">
        <f t="shared" si="66"/>
      </c>
      <c r="AB161" s="731">
        <f t="shared" si="67"/>
      </c>
      <c r="AC161" s="736"/>
      <c r="AD161" s="733">
        <f t="shared" si="59"/>
      </c>
      <c r="AE161" s="747">
        <f t="shared" si="60"/>
        <v>1424</v>
      </c>
      <c r="AF161" s="748">
        <f t="shared" si="61"/>
        <v>356</v>
      </c>
      <c r="AG161" s="764">
        <v>1424</v>
      </c>
      <c r="AH161" s="765">
        <v>356</v>
      </c>
      <c r="AI161" s="751">
        <f t="shared" si="62"/>
        <v>0</v>
      </c>
      <c r="AJ161" s="751">
        <f t="shared" si="63"/>
        <v>1</v>
      </c>
      <c r="AK161" s="748">
        <f t="shared" si="64"/>
        <v>356</v>
      </c>
      <c r="AL161" s="752">
        <f t="shared" si="65"/>
        <v>4</v>
      </c>
      <c r="AM161" s="753">
        <v>1424</v>
      </c>
      <c r="AN161" s="751">
        <f t="shared" si="68"/>
        <v>0</v>
      </c>
      <c r="AO161" s="497">
        <f>237023+244842+160469+47021+21536+18820+18020.5+26440+10695+9162.5+9870+6322+1787+2032+757+348+420.5+158+4053+339.5+3161.5+1729.5+752+1417+1780+64+1208+952+552+139.5+544+40+8072+1780+1424+1780+440+1780+1188+2612+952+712+4276+1424</f>
        <v>858895.5</v>
      </c>
      <c r="AP161" s="498">
        <f>25678+28966+21290+6590+4890+3520+3479+4786+1907+1716+2388+1533+368+541+126+70+67+48+991+81+743+414+155+169+445+16+302+238+117+23+48+12+2018+445+356+445+55+445+297+653+238+178+1069+356</f>
        <v>118272</v>
      </c>
      <c r="AQ161" s="768">
        <f t="shared" si="56"/>
        <v>7.262035815746753</v>
      </c>
      <c r="AR161" s="316">
        <v>40914</v>
      </c>
      <c r="AS161" s="509" t="s">
        <v>349</v>
      </c>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row>
    <row r="162" spans="1:102" s="344" customFormat="1" ht="15.75" hidden="1">
      <c r="A162" s="368" t="s">
        <v>710</v>
      </c>
      <c r="B162" s="348"/>
      <c r="C162" s="352" t="s">
        <v>261</v>
      </c>
      <c r="D162" s="349"/>
      <c r="E162" s="356">
        <v>3</v>
      </c>
      <c r="F162" s="355"/>
      <c r="G162" s="349"/>
      <c r="H162" s="350"/>
      <c r="I162" s="351"/>
      <c r="J162" s="211" t="s">
        <v>282</v>
      </c>
      <c r="K162" s="61" t="s">
        <v>281</v>
      </c>
      <c r="L162" s="65" t="s">
        <v>248</v>
      </c>
      <c r="M162" s="63" t="s">
        <v>280</v>
      </c>
      <c r="N162" s="225">
        <v>40767</v>
      </c>
      <c r="O162" s="64" t="s">
        <v>68</v>
      </c>
      <c r="P162" s="263">
        <v>39</v>
      </c>
      <c r="Q162" s="264">
        <v>1</v>
      </c>
      <c r="R162" s="264">
        <v>17</v>
      </c>
      <c r="S162" s="732">
        <v>0</v>
      </c>
      <c r="T162" s="743">
        <v>0</v>
      </c>
      <c r="U162" s="732">
        <v>0</v>
      </c>
      <c r="V162" s="743">
        <v>0</v>
      </c>
      <c r="W162" s="732">
        <v>0</v>
      </c>
      <c r="X162" s="743">
        <v>0</v>
      </c>
      <c r="Y162" s="846">
        <f t="shared" si="57"/>
        <v>0</v>
      </c>
      <c r="Z162" s="847">
        <f t="shared" si="58"/>
        <v>0</v>
      </c>
      <c r="AA162" s="730">
        <f t="shared" si="66"/>
      </c>
      <c r="AB162" s="731">
        <f t="shared" si="67"/>
      </c>
      <c r="AC162" s="736"/>
      <c r="AD162" s="733">
        <f t="shared" si="59"/>
      </c>
      <c r="AE162" s="747">
        <f t="shared" si="60"/>
        <v>389.5</v>
      </c>
      <c r="AF162" s="748">
        <f t="shared" si="61"/>
        <v>56</v>
      </c>
      <c r="AG162" s="764">
        <v>389.5</v>
      </c>
      <c r="AH162" s="765">
        <v>56</v>
      </c>
      <c r="AI162" s="751">
        <f t="shared" si="62"/>
        <v>0</v>
      </c>
      <c r="AJ162" s="751">
        <f t="shared" si="63"/>
        <v>1</v>
      </c>
      <c r="AK162" s="748">
        <f t="shared" si="64"/>
        <v>56</v>
      </c>
      <c r="AL162" s="752">
        <f t="shared" si="65"/>
        <v>6.955357142857143</v>
      </c>
      <c r="AM162" s="753">
        <v>389.5</v>
      </c>
      <c r="AN162" s="751">
        <f t="shared" si="68"/>
        <v>0</v>
      </c>
      <c r="AO162" s="497">
        <f>227782+93706+36180+21819+14718.5+11547.5+9757.5+8598+8681+8538+4936.5+48+662+5495+26+1437+754.5+389.5</f>
        <v>455076</v>
      </c>
      <c r="AP162" s="498">
        <f>21125+9522+4298+2881+1947+1746+1401+1176+1202+1176+682+7+103+939+4+204+110+56</f>
        <v>48579</v>
      </c>
      <c r="AQ162" s="768">
        <f t="shared" si="56"/>
        <v>9.367751497560674</v>
      </c>
      <c r="AR162" s="316">
        <v>40914</v>
      </c>
      <c r="AS162" s="509" t="s">
        <v>349</v>
      </c>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row>
    <row r="163" spans="1:102" s="344" customFormat="1" ht="15.75" hidden="1">
      <c r="A163" s="368" t="s">
        <v>711</v>
      </c>
      <c r="B163" s="348"/>
      <c r="C163" s="352" t="s">
        <v>261</v>
      </c>
      <c r="D163" s="349"/>
      <c r="E163" s="349"/>
      <c r="F163" s="349"/>
      <c r="G163" s="349"/>
      <c r="H163" s="350"/>
      <c r="I163" s="353" t="s">
        <v>54</v>
      </c>
      <c r="J163" s="211" t="s">
        <v>548</v>
      </c>
      <c r="K163" s="63" t="s">
        <v>549</v>
      </c>
      <c r="L163" s="63"/>
      <c r="M163" s="63" t="s">
        <v>548</v>
      </c>
      <c r="N163" s="225">
        <v>40648</v>
      </c>
      <c r="O163" s="64" t="s">
        <v>68</v>
      </c>
      <c r="P163" s="263">
        <v>28</v>
      </c>
      <c r="Q163" s="264">
        <v>1</v>
      </c>
      <c r="R163" s="264">
        <v>26</v>
      </c>
      <c r="S163" s="732"/>
      <c r="T163" s="743"/>
      <c r="U163" s="732"/>
      <c r="V163" s="743"/>
      <c r="W163" s="732"/>
      <c r="X163" s="743"/>
      <c r="Y163" s="846">
        <f t="shared" si="57"/>
        <v>0</v>
      </c>
      <c r="Z163" s="847">
        <f t="shared" si="58"/>
        <v>0</v>
      </c>
      <c r="AA163" s="730">
        <f t="shared" si="66"/>
      </c>
      <c r="AB163" s="731">
        <f t="shared" si="67"/>
      </c>
      <c r="AC163" s="736"/>
      <c r="AD163" s="733">
        <f t="shared" si="59"/>
      </c>
      <c r="AE163" s="747">
        <f t="shared" si="60"/>
        <v>40</v>
      </c>
      <c r="AF163" s="748">
        <f t="shared" si="61"/>
        <v>8</v>
      </c>
      <c r="AG163" s="764">
        <v>40</v>
      </c>
      <c r="AH163" s="765">
        <v>8</v>
      </c>
      <c r="AI163" s="751">
        <f t="shared" si="62"/>
        <v>0</v>
      </c>
      <c r="AJ163" s="751">
        <f t="shared" si="63"/>
        <v>1</v>
      </c>
      <c r="AK163" s="748">
        <f t="shared" si="64"/>
        <v>8</v>
      </c>
      <c r="AL163" s="752">
        <f t="shared" si="65"/>
        <v>5</v>
      </c>
      <c r="AM163" s="753">
        <v>40</v>
      </c>
      <c r="AN163" s="751">
        <f t="shared" si="68"/>
        <v>0</v>
      </c>
      <c r="AO163" s="497">
        <f>67573+47761.5+14206.5+4949+3617+1080.5+492+714+1413.5+3743.5+735+1502.5+825+1147+1818+154+295+2263+179+160+3326.5+950.5+1782+1425.5+594+40</f>
        <v>162747.5</v>
      </c>
      <c r="AP163" s="498">
        <f>6695+4901+2068+559+504+215+178+122+205+836+119+235+131+174+400+22+45+527+35+28+831+237+446+356+149+8</f>
        <v>20026</v>
      </c>
      <c r="AQ163" s="768">
        <f t="shared" si="56"/>
        <v>8.126810146809149</v>
      </c>
      <c r="AR163" s="316">
        <v>40914</v>
      </c>
      <c r="AS163" s="509" t="s">
        <v>349</v>
      </c>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row>
    <row r="164" spans="1:102" s="344" customFormat="1" ht="15.75" hidden="1">
      <c r="A164" s="368" t="s">
        <v>712</v>
      </c>
      <c r="B164" s="348"/>
      <c r="C164" s="352" t="s">
        <v>261</v>
      </c>
      <c r="D164" s="349"/>
      <c r="E164" s="349"/>
      <c r="F164" s="349"/>
      <c r="G164" s="349"/>
      <c r="H164" s="350"/>
      <c r="I164" s="351"/>
      <c r="J164" s="211" t="s">
        <v>553</v>
      </c>
      <c r="K164" s="63" t="s">
        <v>554</v>
      </c>
      <c r="L164" s="65" t="s">
        <v>128</v>
      </c>
      <c r="M164" s="63" t="s">
        <v>555</v>
      </c>
      <c r="N164" s="225">
        <v>40613</v>
      </c>
      <c r="O164" s="64" t="s">
        <v>68</v>
      </c>
      <c r="P164" s="263">
        <v>22</v>
      </c>
      <c r="Q164" s="264">
        <v>1</v>
      </c>
      <c r="R164" s="264">
        <v>18</v>
      </c>
      <c r="S164" s="732"/>
      <c r="T164" s="743"/>
      <c r="U164" s="732"/>
      <c r="V164" s="743"/>
      <c r="W164" s="732"/>
      <c r="X164" s="743"/>
      <c r="Y164" s="846">
        <f t="shared" si="57"/>
        <v>0</v>
      </c>
      <c r="Z164" s="847">
        <f t="shared" si="58"/>
        <v>0</v>
      </c>
      <c r="AA164" s="730">
        <f t="shared" si="66"/>
      </c>
      <c r="AB164" s="731">
        <f t="shared" si="67"/>
      </c>
      <c r="AC164" s="736"/>
      <c r="AD164" s="733">
        <f t="shared" si="59"/>
      </c>
      <c r="AE164" s="747">
        <f t="shared" si="60"/>
        <v>5</v>
      </c>
      <c r="AF164" s="748">
        <f t="shared" si="61"/>
        <v>1</v>
      </c>
      <c r="AG164" s="764">
        <v>5</v>
      </c>
      <c r="AH164" s="765">
        <v>1</v>
      </c>
      <c r="AI164" s="751">
        <f t="shared" si="62"/>
        <v>0</v>
      </c>
      <c r="AJ164" s="751">
        <f t="shared" si="63"/>
        <v>1</v>
      </c>
      <c r="AK164" s="748">
        <f t="shared" si="64"/>
        <v>1</v>
      </c>
      <c r="AL164" s="752">
        <f t="shared" si="65"/>
        <v>5</v>
      </c>
      <c r="AM164" s="753">
        <v>5</v>
      </c>
      <c r="AN164" s="751">
        <f t="shared" si="68"/>
        <v>0</v>
      </c>
      <c r="AO164" s="497">
        <f>116753+45641.5+1507+3664+4533+723.5+456.5+2184+2545+520.5+610+1419+1872+2025.5+1249+6798+2626.5+5</f>
        <v>195133</v>
      </c>
      <c r="AP164" s="498">
        <f>8727+3759+162+393+667+140+67+296+333+73+92+210+173+255+140+905+299+1</f>
        <v>16692</v>
      </c>
      <c r="AQ164" s="768">
        <f t="shared" si="56"/>
        <v>11.690210879463216</v>
      </c>
      <c r="AR164" s="316">
        <v>40914</v>
      </c>
      <c r="AS164" s="509" t="s">
        <v>349</v>
      </c>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row>
    <row r="165" spans="1:102" s="344" customFormat="1" ht="15.75" hidden="1">
      <c r="A165" s="368" t="s">
        <v>722</v>
      </c>
      <c r="B165" s="349"/>
      <c r="C165" s="352" t="s">
        <v>261</v>
      </c>
      <c r="D165" s="349"/>
      <c r="E165" s="356">
        <v>3</v>
      </c>
      <c r="F165" s="349"/>
      <c r="G165" s="349"/>
      <c r="H165" s="350"/>
      <c r="I165" s="350"/>
      <c r="J165" s="209" t="s">
        <v>202</v>
      </c>
      <c r="K165" s="61" t="s">
        <v>210</v>
      </c>
      <c r="L165" s="68" t="s">
        <v>211</v>
      </c>
      <c r="M165" s="68" t="s">
        <v>202</v>
      </c>
      <c r="N165" s="225">
        <v>40837</v>
      </c>
      <c r="O165" s="64" t="s">
        <v>12</v>
      </c>
      <c r="P165" s="263">
        <v>130</v>
      </c>
      <c r="Q165" s="264">
        <v>1</v>
      </c>
      <c r="R165" s="264">
        <v>10</v>
      </c>
      <c r="S165" s="744">
        <v>91</v>
      </c>
      <c r="T165" s="745">
        <v>13</v>
      </c>
      <c r="U165" s="744">
        <v>175</v>
      </c>
      <c r="V165" s="745">
        <v>25</v>
      </c>
      <c r="W165" s="744">
        <v>294</v>
      </c>
      <c r="X165" s="745">
        <v>42</v>
      </c>
      <c r="Y165" s="846">
        <f t="shared" si="57"/>
        <v>560</v>
      </c>
      <c r="Z165" s="847">
        <f t="shared" si="58"/>
        <v>80</v>
      </c>
      <c r="AA165" s="730">
        <f t="shared" si="66"/>
        <v>80</v>
      </c>
      <c r="AB165" s="731">
        <f t="shared" si="67"/>
        <v>7</v>
      </c>
      <c r="AC165" s="736"/>
      <c r="AD165" s="733">
        <f t="shared" si="59"/>
      </c>
      <c r="AE165" s="747">
        <f t="shared" si="60"/>
        <v>423</v>
      </c>
      <c r="AF165" s="748">
        <f t="shared" si="61"/>
        <v>61</v>
      </c>
      <c r="AG165" s="756">
        <v>983</v>
      </c>
      <c r="AH165" s="757">
        <v>141</v>
      </c>
      <c r="AI165" s="751">
        <f t="shared" si="62"/>
        <v>0.5673758865248227</v>
      </c>
      <c r="AJ165" s="751">
        <f t="shared" si="63"/>
        <v>0.4326241134751773</v>
      </c>
      <c r="AK165" s="748">
        <f t="shared" si="64"/>
        <v>141</v>
      </c>
      <c r="AL165" s="752">
        <f t="shared" si="65"/>
        <v>6.971631205673759</v>
      </c>
      <c r="AM165" s="758">
        <v>983</v>
      </c>
      <c r="AN165" s="751">
        <f t="shared" si="68"/>
        <v>0</v>
      </c>
      <c r="AO165" s="268">
        <v>893705</v>
      </c>
      <c r="AP165" s="269">
        <v>90187</v>
      </c>
      <c r="AQ165" s="768">
        <f t="shared" si="56"/>
        <v>9.909465887544767</v>
      </c>
      <c r="AR165" s="316">
        <v>40907</v>
      </c>
      <c r="AS165" s="509" t="s">
        <v>349</v>
      </c>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row>
    <row r="166" spans="1:102" s="344" customFormat="1" ht="15.75" hidden="1">
      <c r="A166" s="368" t="s">
        <v>723</v>
      </c>
      <c r="B166" s="358"/>
      <c r="C166" s="352" t="s">
        <v>261</v>
      </c>
      <c r="D166" s="361" t="s">
        <v>223</v>
      </c>
      <c r="E166" s="359"/>
      <c r="F166" s="349"/>
      <c r="G166" s="359"/>
      <c r="H166" s="350"/>
      <c r="I166" s="357"/>
      <c r="J166" s="207" t="s">
        <v>176</v>
      </c>
      <c r="K166" s="66" t="s">
        <v>179</v>
      </c>
      <c r="L166" s="61" t="s">
        <v>138</v>
      </c>
      <c r="M166" s="66" t="s">
        <v>180</v>
      </c>
      <c r="N166" s="225">
        <v>40837</v>
      </c>
      <c r="O166" s="64" t="s">
        <v>53</v>
      </c>
      <c r="P166" s="280">
        <v>33</v>
      </c>
      <c r="Q166" s="281">
        <v>1</v>
      </c>
      <c r="R166" s="281">
        <v>5</v>
      </c>
      <c r="S166" s="744">
        <v>0</v>
      </c>
      <c r="T166" s="745">
        <v>0</v>
      </c>
      <c r="U166" s="744">
        <v>153</v>
      </c>
      <c r="V166" s="745">
        <v>15</v>
      </c>
      <c r="W166" s="744">
        <v>358</v>
      </c>
      <c r="X166" s="745">
        <v>35</v>
      </c>
      <c r="Y166" s="846">
        <f t="shared" si="57"/>
        <v>511</v>
      </c>
      <c r="Z166" s="847">
        <f t="shared" si="58"/>
        <v>50</v>
      </c>
      <c r="AA166" s="730">
        <f t="shared" si="66"/>
        <v>50</v>
      </c>
      <c r="AB166" s="731">
        <f t="shared" si="67"/>
        <v>10.22</v>
      </c>
      <c r="AC166" s="736"/>
      <c r="AD166" s="733">
        <f t="shared" si="59"/>
      </c>
      <c r="AE166" s="747">
        <f t="shared" si="60"/>
        <v>0</v>
      </c>
      <c r="AF166" s="748">
        <f t="shared" si="61"/>
        <v>0</v>
      </c>
      <c r="AG166" s="756">
        <v>511</v>
      </c>
      <c r="AH166" s="757">
        <v>50</v>
      </c>
      <c r="AI166" s="751">
        <f t="shared" si="62"/>
        <v>1</v>
      </c>
      <c r="AJ166" s="751">
        <f t="shared" si="63"/>
        <v>0</v>
      </c>
      <c r="AK166" s="748">
        <f t="shared" si="64"/>
        <v>50</v>
      </c>
      <c r="AL166" s="752">
        <f t="shared" si="65"/>
        <v>10.22</v>
      </c>
      <c r="AM166" s="758">
        <v>511</v>
      </c>
      <c r="AN166" s="751">
        <f t="shared" si="68"/>
        <v>0</v>
      </c>
      <c r="AO166" s="772">
        <v>307870</v>
      </c>
      <c r="AP166" s="773">
        <v>23173</v>
      </c>
      <c r="AQ166" s="768">
        <f t="shared" si="56"/>
        <v>13.285720450524318</v>
      </c>
      <c r="AR166" s="316">
        <v>40907</v>
      </c>
      <c r="AS166" s="509" t="s">
        <v>349</v>
      </c>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row>
    <row r="167" spans="1:102" s="344" customFormat="1" ht="15.75" hidden="1">
      <c r="A167" s="368" t="s">
        <v>724</v>
      </c>
      <c r="B167" s="349"/>
      <c r="C167" s="352" t="s">
        <v>261</v>
      </c>
      <c r="D167" s="361" t="s">
        <v>223</v>
      </c>
      <c r="E167" s="349"/>
      <c r="F167" s="349"/>
      <c r="G167" s="349"/>
      <c r="H167" s="354" t="s">
        <v>55</v>
      </c>
      <c r="I167" s="351"/>
      <c r="J167" s="215" t="s">
        <v>152</v>
      </c>
      <c r="K167" s="61" t="s">
        <v>217</v>
      </c>
      <c r="L167" s="62" t="s">
        <v>94</v>
      </c>
      <c r="M167" s="64" t="s">
        <v>152</v>
      </c>
      <c r="N167" s="225">
        <v>40676</v>
      </c>
      <c r="O167" s="64" t="s">
        <v>12</v>
      </c>
      <c r="P167" s="263">
        <v>100</v>
      </c>
      <c r="Q167" s="264">
        <v>1</v>
      </c>
      <c r="R167" s="264">
        <v>34</v>
      </c>
      <c r="S167" s="744">
        <v>0</v>
      </c>
      <c r="T167" s="745">
        <v>0</v>
      </c>
      <c r="U167" s="744">
        <v>154</v>
      </c>
      <c r="V167" s="745">
        <v>19</v>
      </c>
      <c r="W167" s="744">
        <v>170</v>
      </c>
      <c r="X167" s="745">
        <v>21</v>
      </c>
      <c r="Y167" s="846">
        <f t="shared" si="57"/>
        <v>324</v>
      </c>
      <c r="Z167" s="847">
        <f t="shared" si="58"/>
        <v>40</v>
      </c>
      <c r="AA167" s="730">
        <f t="shared" si="66"/>
        <v>40</v>
      </c>
      <c r="AB167" s="731">
        <f t="shared" si="67"/>
        <v>8.1</v>
      </c>
      <c r="AC167" s="736"/>
      <c r="AD167" s="733">
        <f t="shared" si="59"/>
      </c>
      <c r="AE167" s="747">
        <f t="shared" si="60"/>
        <v>48</v>
      </c>
      <c r="AF167" s="748">
        <f t="shared" si="61"/>
        <v>6</v>
      </c>
      <c r="AG167" s="756">
        <v>372</v>
      </c>
      <c r="AH167" s="757">
        <v>46</v>
      </c>
      <c r="AI167" s="751">
        <f t="shared" si="62"/>
        <v>0.8695652173913043</v>
      </c>
      <c r="AJ167" s="751">
        <f t="shared" si="63"/>
        <v>0.13043478260869565</v>
      </c>
      <c r="AK167" s="748">
        <f t="shared" si="64"/>
        <v>46</v>
      </c>
      <c r="AL167" s="752">
        <f t="shared" si="65"/>
        <v>8.08695652173913</v>
      </c>
      <c r="AM167" s="758">
        <v>372</v>
      </c>
      <c r="AN167" s="751">
        <f t="shared" si="68"/>
        <v>0</v>
      </c>
      <c r="AO167" s="268">
        <v>1184752</v>
      </c>
      <c r="AP167" s="269">
        <v>129821</v>
      </c>
      <c r="AQ167" s="768">
        <f t="shared" si="56"/>
        <v>9.126042781984424</v>
      </c>
      <c r="AR167" s="316">
        <v>40907</v>
      </c>
      <c r="AS167" s="509" t="s">
        <v>349</v>
      </c>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row>
    <row r="168" spans="1:102" s="344" customFormat="1" ht="15.75" hidden="1">
      <c r="A168" s="368" t="s">
        <v>738</v>
      </c>
      <c r="B168" s="348"/>
      <c r="C168" s="352" t="s">
        <v>261</v>
      </c>
      <c r="D168" s="349"/>
      <c r="E168" s="349"/>
      <c r="F168" s="349"/>
      <c r="G168" s="349"/>
      <c r="H168" s="350"/>
      <c r="I168" s="357"/>
      <c r="J168" s="214" t="s">
        <v>131</v>
      </c>
      <c r="K168" s="61" t="s">
        <v>132</v>
      </c>
      <c r="L168" s="67" t="s">
        <v>99</v>
      </c>
      <c r="M168" s="65" t="s">
        <v>700</v>
      </c>
      <c r="N168" s="225">
        <v>40746</v>
      </c>
      <c r="O168" s="64" t="s">
        <v>52</v>
      </c>
      <c r="P168" s="287">
        <v>23</v>
      </c>
      <c r="Q168" s="277">
        <v>1</v>
      </c>
      <c r="R168" s="277">
        <v>18</v>
      </c>
      <c r="S168" s="739">
        <v>12</v>
      </c>
      <c r="T168" s="740">
        <v>2</v>
      </c>
      <c r="U168" s="739">
        <v>24</v>
      </c>
      <c r="V168" s="740">
        <v>4</v>
      </c>
      <c r="W168" s="739">
        <v>0</v>
      </c>
      <c r="X168" s="740">
        <v>0</v>
      </c>
      <c r="Y168" s="846">
        <f t="shared" si="57"/>
        <v>36</v>
      </c>
      <c r="Z168" s="847">
        <f t="shared" si="58"/>
        <v>6</v>
      </c>
      <c r="AA168" s="730">
        <f t="shared" si="66"/>
        <v>6</v>
      </c>
      <c r="AB168" s="731">
        <f t="shared" si="67"/>
        <v>6</v>
      </c>
      <c r="AC168" s="736"/>
      <c r="AD168" s="733">
        <f t="shared" si="59"/>
      </c>
      <c r="AE168" s="747">
        <f t="shared" si="60"/>
        <v>0</v>
      </c>
      <c r="AF168" s="748">
        <f t="shared" si="61"/>
        <v>0</v>
      </c>
      <c r="AG168" s="760">
        <v>36</v>
      </c>
      <c r="AH168" s="761">
        <v>6</v>
      </c>
      <c r="AI168" s="751">
        <f t="shared" si="62"/>
        <v>1</v>
      </c>
      <c r="AJ168" s="751">
        <f t="shared" si="63"/>
        <v>0</v>
      </c>
      <c r="AK168" s="748">
        <f t="shared" si="64"/>
        <v>6</v>
      </c>
      <c r="AL168" s="752">
        <f t="shared" si="65"/>
        <v>6</v>
      </c>
      <c r="AM168" s="759">
        <v>36</v>
      </c>
      <c r="AN168" s="751">
        <f t="shared" si="68"/>
        <v>0</v>
      </c>
      <c r="AO168" s="771">
        <f>47685+27229.5+17697.5+18612+19593.5+16691+6089.5+2551.5+2254+4358+2609+1310+356+168+150+121+69+36</f>
        <v>167580.5</v>
      </c>
      <c r="AP168" s="269">
        <f>4321+2419+2108+2430+2448+2072+892+397+346+639+377+205+49+24+23+19+11+6</f>
        <v>18786</v>
      </c>
      <c r="AQ168" s="768">
        <f t="shared" si="56"/>
        <v>8.920499307995316</v>
      </c>
      <c r="AR168" s="316">
        <v>40907</v>
      </c>
      <c r="AS168" s="509" t="s">
        <v>349</v>
      </c>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row>
    <row r="169" spans="1:102" s="344" customFormat="1" ht="15.75" hidden="1">
      <c r="A169" s="368" t="s">
        <v>739</v>
      </c>
      <c r="B169" s="349"/>
      <c r="C169" s="352" t="s">
        <v>261</v>
      </c>
      <c r="D169" s="349"/>
      <c r="E169" s="349"/>
      <c r="F169" s="349"/>
      <c r="G169" s="349"/>
      <c r="H169" s="350"/>
      <c r="I169" s="350"/>
      <c r="J169" s="396" t="s">
        <v>256</v>
      </c>
      <c r="K169" s="64" t="s">
        <v>257</v>
      </c>
      <c r="L169" s="64" t="s">
        <v>248</v>
      </c>
      <c r="M169" s="64" t="s">
        <v>240</v>
      </c>
      <c r="N169" s="225">
        <v>40739</v>
      </c>
      <c r="O169" s="64" t="s">
        <v>13</v>
      </c>
      <c r="P169" s="263">
        <v>3</v>
      </c>
      <c r="Q169" s="264">
        <v>2</v>
      </c>
      <c r="R169" s="264">
        <v>17</v>
      </c>
      <c r="S169" s="728">
        <v>0</v>
      </c>
      <c r="T169" s="729">
        <v>0</v>
      </c>
      <c r="U169" s="728">
        <v>0</v>
      </c>
      <c r="V169" s="729">
        <v>0</v>
      </c>
      <c r="W169" s="728">
        <v>0</v>
      </c>
      <c r="X169" s="729">
        <v>0</v>
      </c>
      <c r="Y169" s="846">
        <f t="shared" si="57"/>
        <v>0</v>
      </c>
      <c r="Z169" s="847">
        <f t="shared" si="58"/>
        <v>0</v>
      </c>
      <c r="AA169" s="730">
        <f t="shared" si="66"/>
      </c>
      <c r="AB169" s="731">
        <f t="shared" si="67"/>
      </c>
      <c r="AC169" s="736"/>
      <c r="AD169" s="733">
        <f t="shared" si="59"/>
      </c>
      <c r="AE169" s="747">
        <f t="shared" si="60"/>
        <v>2608</v>
      </c>
      <c r="AF169" s="748">
        <f t="shared" si="61"/>
        <v>520</v>
      </c>
      <c r="AG169" s="756">
        <v>2608</v>
      </c>
      <c r="AH169" s="757">
        <v>520</v>
      </c>
      <c r="AI169" s="751">
        <f t="shared" si="62"/>
        <v>0</v>
      </c>
      <c r="AJ169" s="751">
        <f t="shared" si="63"/>
        <v>1</v>
      </c>
      <c r="AK169" s="748">
        <f t="shared" si="64"/>
        <v>260</v>
      </c>
      <c r="AL169" s="752">
        <f t="shared" si="65"/>
        <v>5.015384615384615</v>
      </c>
      <c r="AM169" s="758">
        <v>2608</v>
      </c>
      <c r="AN169" s="751">
        <f t="shared" si="68"/>
        <v>0</v>
      </c>
      <c r="AO169" s="268">
        <v>43756.5</v>
      </c>
      <c r="AP169" s="269">
        <v>5487</v>
      </c>
      <c r="AQ169" s="768">
        <f t="shared" si="56"/>
        <v>7.97457627118644</v>
      </c>
      <c r="AR169" s="316">
        <v>40907</v>
      </c>
      <c r="AS169" s="509" t="s">
        <v>349</v>
      </c>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row>
    <row r="170" spans="1:102" s="344" customFormat="1" ht="15.75" hidden="1">
      <c r="A170" s="368" t="s">
        <v>740</v>
      </c>
      <c r="B170" s="348"/>
      <c r="C170" s="352" t="s">
        <v>261</v>
      </c>
      <c r="D170" s="349"/>
      <c r="E170" s="349"/>
      <c r="F170" s="349"/>
      <c r="G170" s="349"/>
      <c r="H170" s="350"/>
      <c r="I170" s="350"/>
      <c r="J170" s="396" t="s">
        <v>241</v>
      </c>
      <c r="K170" s="64" t="s">
        <v>129</v>
      </c>
      <c r="L170" s="64" t="s">
        <v>79</v>
      </c>
      <c r="M170" s="64" t="s">
        <v>242</v>
      </c>
      <c r="N170" s="225">
        <v>40781</v>
      </c>
      <c r="O170" s="64" t="s">
        <v>13</v>
      </c>
      <c r="P170" s="263">
        <v>10</v>
      </c>
      <c r="Q170" s="264">
        <v>1</v>
      </c>
      <c r="R170" s="264">
        <v>9</v>
      </c>
      <c r="S170" s="728">
        <v>0</v>
      </c>
      <c r="T170" s="729">
        <v>0</v>
      </c>
      <c r="U170" s="728">
        <v>0</v>
      </c>
      <c r="V170" s="729">
        <v>0</v>
      </c>
      <c r="W170" s="728">
        <v>0</v>
      </c>
      <c r="X170" s="729">
        <v>0</v>
      </c>
      <c r="Y170" s="846">
        <f t="shared" si="57"/>
        <v>0</v>
      </c>
      <c r="Z170" s="847">
        <f t="shared" si="58"/>
        <v>0</v>
      </c>
      <c r="AA170" s="730">
        <f t="shared" si="66"/>
      </c>
      <c r="AB170" s="731">
        <f t="shared" si="67"/>
      </c>
      <c r="AC170" s="736"/>
      <c r="AD170" s="733">
        <f t="shared" si="59"/>
      </c>
      <c r="AE170" s="747">
        <f t="shared" si="60"/>
        <v>1188</v>
      </c>
      <c r="AF170" s="748">
        <f t="shared" si="61"/>
        <v>237</v>
      </c>
      <c r="AG170" s="756">
        <v>1188</v>
      </c>
      <c r="AH170" s="757">
        <v>237</v>
      </c>
      <c r="AI170" s="751">
        <f t="shared" si="62"/>
        <v>0</v>
      </c>
      <c r="AJ170" s="751">
        <f t="shared" si="63"/>
        <v>1</v>
      </c>
      <c r="AK170" s="748">
        <f t="shared" si="64"/>
        <v>237</v>
      </c>
      <c r="AL170" s="752">
        <f t="shared" si="65"/>
        <v>5.012658227848101</v>
      </c>
      <c r="AM170" s="758">
        <v>1188</v>
      </c>
      <c r="AN170" s="751">
        <f t="shared" si="68"/>
        <v>0</v>
      </c>
      <c r="AO170" s="268">
        <v>32436</v>
      </c>
      <c r="AP170" s="269">
        <v>4095</v>
      </c>
      <c r="AQ170" s="768">
        <f t="shared" si="56"/>
        <v>7.920879120879121</v>
      </c>
      <c r="AR170" s="316">
        <v>40907</v>
      </c>
      <c r="AS170" s="509" t="s">
        <v>349</v>
      </c>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row>
    <row r="171" spans="1:102" s="344" customFormat="1" ht="15.75" hidden="1">
      <c r="A171" s="368" t="s">
        <v>741</v>
      </c>
      <c r="B171" s="348"/>
      <c r="C171" s="352" t="s">
        <v>261</v>
      </c>
      <c r="D171" s="349"/>
      <c r="E171" s="349"/>
      <c r="F171" s="349"/>
      <c r="G171" s="349"/>
      <c r="H171" s="350"/>
      <c r="I171" s="350"/>
      <c r="J171" s="396" t="s">
        <v>249</v>
      </c>
      <c r="K171" s="64" t="s">
        <v>250</v>
      </c>
      <c r="L171" s="64" t="s">
        <v>79</v>
      </c>
      <c r="M171" s="64" t="s">
        <v>243</v>
      </c>
      <c r="N171" s="226">
        <v>40718</v>
      </c>
      <c r="O171" s="64" t="s">
        <v>13</v>
      </c>
      <c r="P171" s="263">
        <v>5</v>
      </c>
      <c r="Q171" s="264">
        <v>1</v>
      </c>
      <c r="R171" s="264">
        <v>14</v>
      </c>
      <c r="S171" s="728">
        <v>0</v>
      </c>
      <c r="T171" s="729">
        <v>0</v>
      </c>
      <c r="U171" s="728">
        <v>0</v>
      </c>
      <c r="V171" s="729">
        <v>0</v>
      </c>
      <c r="W171" s="728">
        <v>0</v>
      </c>
      <c r="X171" s="729">
        <v>0</v>
      </c>
      <c r="Y171" s="846">
        <f t="shared" si="57"/>
        <v>0</v>
      </c>
      <c r="Z171" s="847">
        <f t="shared" si="58"/>
        <v>0</v>
      </c>
      <c r="AA171" s="730">
        <f t="shared" si="66"/>
      </c>
      <c r="AB171" s="731">
        <f t="shared" si="67"/>
      </c>
      <c r="AC171" s="736"/>
      <c r="AD171" s="733">
        <f t="shared" si="59"/>
      </c>
      <c r="AE171" s="747">
        <f t="shared" si="60"/>
        <v>1188</v>
      </c>
      <c r="AF171" s="748">
        <f t="shared" si="61"/>
        <v>237</v>
      </c>
      <c r="AG171" s="756">
        <v>1188</v>
      </c>
      <c r="AH171" s="757">
        <v>237</v>
      </c>
      <c r="AI171" s="751">
        <f t="shared" si="62"/>
        <v>0</v>
      </c>
      <c r="AJ171" s="751">
        <f t="shared" si="63"/>
        <v>1</v>
      </c>
      <c r="AK171" s="748">
        <f t="shared" si="64"/>
        <v>237</v>
      </c>
      <c r="AL171" s="752">
        <f t="shared" si="65"/>
        <v>5.012658227848101</v>
      </c>
      <c r="AM171" s="758">
        <v>1188</v>
      </c>
      <c r="AN171" s="751">
        <f t="shared" si="68"/>
        <v>0</v>
      </c>
      <c r="AO171" s="268">
        <v>30216.25</v>
      </c>
      <c r="AP171" s="269">
        <v>3201</v>
      </c>
      <c r="AQ171" s="768">
        <f>AO171/AP171</f>
        <v>9.439628241174633</v>
      </c>
      <c r="AR171" s="316">
        <v>40907</v>
      </c>
      <c r="AS171" s="509" t="s">
        <v>349</v>
      </c>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row>
    <row r="172" spans="1:102" s="344" customFormat="1" ht="15.75" hidden="1">
      <c r="A172" s="368" t="s">
        <v>759</v>
      </c>
      <c r="B172" s="348"/>
      <c r="C172" s="352" t="s">
        <v>261</v>
      </c>
      <c r="D172" s="349"/>
      <c r="E172" s="349"/>
      <c r="F172" s="349"/>
      <c r="G172" s="349"/>
      <c r="H172" s="350"/>
      <c r="I172" s="350"/>
      <c r="J172" s="396" t="s">
        <v>244</v>
      </c>
      <c r="K172" s="64" t="s">
        <v>247</v>
      </c>
      <c r="L172" s="64" t="s">
        <v>248</v>
      </c>
      <c r="M172" s="64" t="s">
        <v>245</v>
      </c>
      <c r="N172" s="225">
        <v>40753</v>
      </c>
      <c r="O172" s="64" t="s">
        <v>13</v>
      </c>
      <c r="P172" s="263">
        <v>3</v>
      </c>
      <c r="Q172" s="264">
        <v>1</v>
      </c>
      <c r="R172" s="264">
        <v>7</v>
      </c>
      <c r="S172" s="728">
        <v>0</v>
      </c>
      <c r="T172" s="729">
        <v>0</v>
      </c>
      <c r="U172" s="728">
        <v>0</v>
      </c>
      <c r="V172" s="729">
        <v>0</v>
      </c>
      <c r="W172" s="728">
        <v>0</v>
      </c>
      <c r="X172" s="729">
        <v>0</v>
      </c>
      <c r="Y172" s="846">
        <f t="shared" si="57"/>
        <v>0</v>
      </c>
      <c r="Z172" s="847">
        <f t="shared" si="58"/>
        <v>0</v>
      </c>
      <c r="AA172" s="730">
        <f t="shared" si="66"/>
      </c>
      <c r="AB172" s="731">
        <f t="shared" si="67"/>
      </c>
      <c r="AC172" s="736"/>
      <c r="AD172" s="733">
        <f t="shared" si="59"/>
      </c>
      <c r="AE172" s="747">
        <f t="shared" si="60"/>
        <v>1188</v>
      </c>
      <c r="AF172" s="748">
        <f t="shared" si="61"/>
        <v>237</v>
      </c>
      <c r="AG172" s="756">
        <v>1188</v>
      </c>
      <c r="AH172" s="757">
        <v>237</v>
      </c>
      <c r="AI172" s="751">
        <f t="shared" si="62"/>
        <v>0</v>
      </c>
      <c r="AJ172" s="751">
        <f t="shared" si="63"/>
        <v>1</v>
      </c>
      <c r="AK172" s="748">
        <f t="shared" si="64"/>
        <v>237</v>
      </c>
      <c r="AL172" s="752">
        <f t="shared" si="65"/>
        <v>5.012658227848101</v>
      </c>
      <c r="AM172" s="758">
        <v>1188</v>
      </c>
      <c r="AN172" s="751">
        <f t="shared" si="68"/>
        <v>0</v>
      </c>
      <c r="AO172" s="268">
        <v>16007.5</v>
      </c>
      <c r="AP172" s="269">
        <v>1536</v>
      </c>
      <c r="AQ172" s="768">
        <f>AO172/AP172</f>
        <v>10.421549479166666</v>
      </c>
      <c r="AR172" s="316">
        <v>40907</v>
      </c>
      <c r="AS172" s="509" t="s">
        <v>349</v>
      </c>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row>
    <row r="173" spans="1:102" s="344" customFormat="1" ht="15.75" hidden="1">
      <c r="A173" s="368" t="s">
        <v>760</v>
      </c>
      <c r="B173" s="348"/>
      <c r="C173" s="352" t="s">
        <v>261</v>
      </c>
      <c r="D173" s="349"/>
      <c r="E173" s="349"/>
      <c r="F173" s="349"/>
      <c r="G173" s="349"/>
      <c r="H173" s="350"/>
      <c r="I173" s="350"/>
      <c r="J173" s="396" t="s">
        <v>251</v>
      </c>
      <c r="K173" s="64" t="s">
        <v>252</v>
      </c>
      <c r="L173" s="64" t="s">
        <v>248</v>
      </c>
      <c r="M173" s="64" t="s">
        <v>246</v>
      </c>
      <c r="N173" s="225">
        <v>40564</v>
      </c>
      <c r="O173" s="64" t="s">
        <v>13</v>
      </c>
      <c r="P173" s="263">
        <v>3</v>
      </c>
      <c r="Q173" s="264">
        <v>1</v>
      </c>
      <c r="R173" s="264">
        <v>6</v>
      </c>
      <c r="S173" s="728">
        <v>0</v>
      </c>
      <c r="T173" s="729">
        <v>0</v>
      </c>
      <c r="U173" s="728">
        <v>0</v>
      </c>
      <c r="V173" s="729">
        <v>0</v>
      </c>
      <c r="W173" s="728">
        <v>0</v>
      </c>
      <c r="X173" s="729">
        <v>0</v>
      </c>
      <c r="Y173" s="846">
        <f t="shared" si="57"/>
        <v>0</v>
      </c>
      <c r="Z173" s="847">
        <f t="shared" si="58"/>
        <v>0</v>
      </c>
      <c r="AA173" s="730">
        <f t="shared" si="66"/>
      </c>
      <c r="AB173" s="731">
        <f t="shared" si="67"/>
      </c>
      <c r="AC173" s="736"/>
      <c r="AD173" s="733">
        <f>IF(AC173&lt;&gt;0,-(AC173-Y173)/AC173,"")</f>
      </c>
      <c r="AE173" s="747">
        <f t="shared" si="60"/>
        <v>594</v>
      </c>
      <c r="AF173" s="748">
        <f t="shared" si="61"/>
        <v>118</v>
      </c>
      <c r="AG173" s="756">
        <v>594</v>
      </c>
      <c r="AH173" s="757">
        <v>118</v>
      </c>
      <c r="AI173" s="751">
        <f t="shared" si="62"/>
        <v>0</v>
      </c>
      <c r="AJ173" s="751">
        <f t="shared" si="63"/>
        <v>1</v>
      </c>
      <c r="AK173" s="748">
        <f t="shared" si="64"/>
        <v>118</v>
      </c>
      <c r="AL173" s="752">
        <f t="shared" si="65"/>
        <v>5.033898305084746</v>
      </c>
      <c r="AM173" s="758">
        <v>594</v>
      </c>
      <c r="AN173" s="751">
        <f t="shared" si="68"/>
        <v>0</v>
      </c>
      <c r="AO173" s="268">
        <v>13140.5</v>
      </c>
      <c r="AP173" s="269">
        <v>1009</v>
      </c>
      <c r="AQ173" s="768">
        <f>AO173/AP173</f>
        <v>13.023290386521309</v>
      </c>
      <c r="AR173" s="316">
        <v>40907</v>
      </c>
      <c r="AS173" s="509" t="s">
        <v>349</v>
      </c>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row>
    <row r="174" spans="1:102" s="344" customFormat="1" ht="15.75" hidden="1">
      <c r="A174" s="368" t="s">
        <v>761</v>
      </c>
      <c r="C174" s="352" t="s">
        <v>261</v>
      </c>
      <c r="D174" s="349"/>
      <c r="E174" s="349"/>
      <c r="F174" s="349"/>
      <c r="G174" s="349"/>
      <c r="H174" s="350"/>
      <c r="I174" s="350"/>
      <c r="J174" s="396" t="s">
        <v>253</v>
      </c>
      <c r="K174" s="64" t="s">
        <v>254</v>
      </c>
      <c r="L174" s="64" t="s">
        <v>79</v>
      </c>
      <c r="M174" s="64" t="s">
        <v>255</v>
      </c>
      <c r="N174" s="225">
        <v>40802</v>
      </c>
      <c r="O174" s="64" t="s">
        <v>13</v>
      </c>
      <c r="P174" s="263">
        <v>8</v>
      </c>
      <c r="Q174" s="264">
        <v>1</v>
      </c>
      <c r="R174" s="264">
        <v>14</v>
      </c>
      <c r="S174" s="728">
        <v>0</v>
      </c>
      <c r="T174" s="729">
        <v>0</v>
      </c>
      <c r="U174" s="728">
        <v>0</v>
      </c>
      <c r="V174" s="729">
        <v>0</v>
      </c>
      <c r="W174" s="728">
        <v>0</v>
      </c>
      <c r="X174" s="729">
        <v>0</v>
      </c>
      <c r="Y174" s="846">
        <f t="shared" si="57"/>
        <v>0</v>
      </c>
      <c r="Z174" s="847">
        <f t="shared" si="58"/>
        <v>0</v>
      </c>
      <c r="AA174" s="730">
        <f t="shared" si="66"/>
      </c>
      <c r="AB174" s="731">
        <f t="shared" si="67"/>
      </c>
      <c r="AC174" s="736"/>
      <c r="AD174" s="733">
        <f>IF(AC174&lt;&gt;0,-(AC174-Y174)/AC174,"")</f>
      </c>
      <c r="AE174" s="747">
        <f t="shared" si="60"/>
        <v>302.5</v>
      </c>
      <c r="AF174" s="748">
        <f t="shared" si="61"/>
        <v>67</v>
      </c>
      <c r="AG174" s="756">
        <v>302.5</v>
      </c>
      <c r="AH174" s="757">
        <v>67</v>
      </c>
      <c r="AI174" s="751">
        <f t="shared" si="62"/>
        <v>0</v>
      </c>
      <c r="AJ174" s="751">
        <f t="shared" si="63"/>
        <v>1</v>
      </c>
      <c r="AK174" s="748">
        <f t="shared" si="64"/>
        <v>67</v>
      </c>
      <c r="AL174" s="752">
        <f t="shared" si="65"/>
        <v>4.514925373134329</v>
      </c>
      <c r="AM174" s="758">
        <v>302.5</v>
      </c>
      <c r="AN174" s="751">
        <f t="shared" si="68"/>
        <v>0</v>
      </c>
      <c r="AO174" s="268">
        <v>73390</v>
      </c>
      <c r="AP174" s="269">
        <v>8093</v>
      </c>
      <c r="AQ174" s="768">
        <f>AO174/AP174</f>
        <v>9.068330656122574</v>
      </c>
      <c r="AR174" s="316">
        <v>40907</v>
      </c>
      <c r="AS174" s="509" t="s">
        <v>349</v>
      </c>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row>
    <row r="175" spans="1:102" s="344" customFormat="1" ht="15.75" hidden="1">
      <c r="A175" s="368" t="s">
        <v>762</v>
      </c>
      <c r="B175" s="358"/>
      <c r="C175" s="352" t="s">
        <v>261</v>
      </c>
      <c r="D175" s="361" t="s">
        <v>223</v>
      </c>
      <c r="E175" s="359"/>
      <c r="F175" s="349"/>
      <c r="G175" s="362"/>
      <c r="H175" s="354" t="s">
        <v>55</v>
      </c>
      <c r="I175" s="357"/>
      <c r="J175" s="207" t="s">
        <v>266</v>
      </c>
      <c r="K175" s="66" t="s">
        <v>422</v>
      </c>
      <c r="L175" s="61" t="s">
        <v>186</v>
      </c>
      <c r="M175" s="66" t="s">
        <v>267</v>
      </c>
      <c r="N175" s="226">
        <v>39073</v>
      </c>
      <c r="O175" s="64" t="s">
        <v>53</v>
      </c>
      <c r="P175" s="280">
        <v>51</v>
      </c>
      <c r="Q175" s="281">
        <v>1</v>
      </c>
      <c r="R175" s="281">
        <v>20</v>
      </c>
      <c r="S175" s="728">
        <v>0</v>
      </c>
      <c r="T175" s="729">
        <v>0</v>
      </c>
      <c r="U175" s="728">
        <v>0</v>
      </c>
      <c r="V175" s="729">
        <v>0</v>
      </c>
      <c r="W175" s="728">
        <v>0</v>
      </c>
      <c r="X175" s="729">
        <v>0</v>
      </c>
      <c r="Y175" s="846">
        <f t="shared" si="57"/>
        <v>0</v>
      </c>
      <c r="Z175" s="847">
        <f t="shared" si="58"/>
        <v>0</v>
      </c>
      <c r="AA175" s="730">
        <f t="shared" si="66"/>
      </c>
      <c r="AB175" s="731">
        <f t="shared" si="67"/>
      </c>
      <c r="AC175" s="736"/>
      <c r="AD175" s="733">
        <f>IF(AC175&lt;&gt;0,-(AC175-Y175)/AC175,"")</f>
      </c>
      <c r="AE175" s="747">
        <f t="shared" si="60"/>
        <v>1201</v>
      </c>
      <c r="AF175" s="748">
        <f t="shared" si="61"/>
        <v>240</v>
      </c>
      <c r="AG175" s="756">
        <v>1201</v>
      </c>
      <c r="AH175" s="757">
        <v>240</v>
      </c>
      <c r="AI175" s="751">
        <f t="shared" si="62"/>
        <v>0</v>
      </c>
      <c r="AJ175" s="751">
        <f t="shared" si="63"/>
        <v>1</v>
      </c>
      <c r="AK175" s="748">
        <f t="shared" si="64"/>
        <v>240</v>
      </c>
      <c r="AL175" s="752">
        <f t="shared" si="65"/>
        <v>5.004166666666666</v>
      </c>
      <c r="AM175" s="758">
        <v>1201</v>
      </c>
      <c r="AN175" s="751">
        <f t="shared" si="68"/>
        <v>0</v>
      </c>
      <c r="AO175" s="268">
        <f>145565+155630+55982+15271+7453.5+9440+11300.5+7141.5+2772.5+2945+30+431+4621+226+400+118+79+0+1201</f>
        <v>420607</v>
      </c>
      <c r="AP175" s="269">
        <f>17748+18932+7628+2641+1317+1724+2010+1184+553+655+5+131+1001+24+110+22+13+0+240</f>
        <v>55938</v>
      </c>
      <c r="AQ175" s="768">
        <f>AO175/AP175</f>
        <v>7.519164074511066</v>
      </c>
      <c r="AR175" s="316">
        <v>40907</v>
      </c>
      <c r="AS175" s="509" t="s">
        <v>349</v>
      </c>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row>
    <row r="176" spans="1:102" s="344" customFormat="1" ht="15.75" hidden="1">
      <c r="A176" s="368" t="s">
        <v>763</v>
      </c>
      <c r="B176" s="348"/>
      <c r="C176" s="352" t="s">
        <v>261</v>
      </c>
      <c r="D176" s="349"/>
      <c r="E176" s="349"/>
      <c r="F176" s="349"/>
      <c r="G176" s="349"/>
      <c r="H176" s="350"/>
      <c r="I176" s="350"/>
      <c r="J176" s="211" t="s">
        <v>268</v>
      </c>
      <c r="K176" s="63" t="s">
        <v>275</v>
      </c>
      <c r="L176" s="65" t="s">
        <v>273</v>
      </c>
      <c r="M176" s="63" t="s">
        <v>285</v>
      </c>
      <c r="N176" s="225">
        <v>40641</v>
      </c>
      <c r="O176" s="64" t="s">
        <v>68</v>
      </c>
      <c r="P176" s="263">
        <v>22</v>
      </c>
      <c r="Q176" s="264">
        <v>1</v>
      </c>
      <c r="R176" s="264">
        <v>21</v>
      </c>
      <c r="S176" s="732">
        <v>0</v>
      </c>
      <c r="T176" s="743">
        <v>0</v>
      </c>
      <c r="U176" s="732">
        <v>0</v>
      </c>
      <c r="V176" s="743">
        <v>0</v>
      </c>
      <c r="W176" s="732">
        <v>0</v>
      </c>
      <c r="X176" s="743">
        <v>0</v>
      </c>
      <c r="Y176" s="846">
        <f t="shared" si="57"/>
        <v>0</v>
      </c>
      <c r="Z176" s="847">
        <f t="shared" si="58"/>
        <v>0</v>
      </c>
      <c r="AA176" s="730">
        <f t="shared" si="66"/>
      </c>
      <c r="AB176" s="731">
        <f t="shared" si="67"/>
      </c>
      <c r="AC176" s="736"/>
      <c r="AD176" s="733">
        <f>IF(AC176&lt;&gt;0,-(AC176-Y176)/AC176,"")</f>
      </c>
      <c r="AE176" s="747">
        <f t="shared" si="60"/>
        <v>3801.5</v>
      </c>
      <c r="AF176" s="748">
        <f t="shared" si="61"/>
        <v>950</v>
      </c>
      <c r="AG176" s="764">
        <v>3801.5</v>
      </c>
      <c r="AH176" s="765">
        <v>950</v>
      </c>
      <c r="AI176" s="751">
        <f t="shared" si="62"/>
        <v>0</v>
      </c>
      <c r="AJ176" s="751">
        <f t="shared" si="63"/>
        <v>1</v>
      </c>
      <c r="AK176" s="748">
        <f t="shared" si="64"/>
        <v>950</v>
      </c>
      <c r="AL176" s="752">
        <f t="shared" si="65"/>
        <v>4.001578947368421</v>
      </c>
      <c r="AM176" s="753">
        <v>3801.5</v>
      </c>
      <c r="AN176" s="751">
        <f t="shared" si="68"/>
        <v>0</v>
      </c>
      <c r="AO176" s="497">
        <f>116634.25+59106.5+23134.5+13753.5+15970+8455.5+1576+1761+10125.5+2018+2376+1505+1606+4951.5+5289.5+5175+120+1367+4606+1218+3801.5</f>
        <v>284550.25</v>
      </c>
      <c r="AP176" s="498">
        <f>8833+4531+2274+1803+2249+1097+201+284+1149+305+594+210+182+582+643+704+20+163+464+300+950</f>
        <v>27538</v>
      </c>
      <c r="AQ176" s="768">
        <f>AO176/AP176</f>
        <v>10.333003486091945</v>
      </c>
      <c r="AR176" s="316">
        <v>40907</v>
      </c>
      <c r="AS176" s="509" t="s">
        <v>349</v>
      </c>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row>
    <row r="177" spans="1:102" s="344" customFormat="1" ht="15.75" hidden="1">
      <c r="A177" s="368" t="s">
        <v>769</v>
      </c>
      <c r="B177" s="348"/>
      <c r="C177" s="352" t="s">
        <v>261</v>
      </c>
      <c r="D177" s="349"/>
      <c r="E177" s="349"/>
      <c r="F177" s="349"/>
      <c r="G177" s="355"/>
      <c r="H177" s="350"/>
      <c r="I177" s="353" t="s">
        <v>54</v>
      </c>
      <c r="J177" s="211" t="s">
        <v>270</v>
      </c>
      <c r="K177" s="61" t="s">
        <v>283</v>
      </c>
      <c r="L177" s="65"/>
      <c r="M177" s="63" t="s">
        <v>270</v>
      </c>
      <c r="N177" s="226">
        <v>40095</v>
      </c>
      <c r="O177" s="64" t="s">
        <v>68</v>
      </c>
      <c r="P177" s="263">
        <v>52</v>
      </c>
      <c r="Q177" s="264">
        <v>1</v>
      </c>
      <c r="R177" s="264">
        <v>16</v>
      </c>
      <c r="S177" s="732">
        <v>0</v>
      </c>
      <c r="T177" s="743">
        <v>0</v>
      </c>
      <c r="U177" s="732">
        <v>0</v>
      </c>
      <c r="V177" s="743">
        <v>0</v>
      </c>
      <c r="W177" s="732">
        <v>0</v>
      </c>
      <c r="X177" s="743">
        <v>0</v>
      </c>
      <c r="Y177" s="846">
        <f t="shared" si="57"/>
        <v>0</v>
      </c>
      <c r="Z177" s="847">
        <f t="shared" si="58"/>
        <v>0</v>
      </c>
      <c r="AA177" s="730">
        <f t="shared" si="66"/>
      </c>
      <c r="AB177" s="731">
        <f t="shared" si="67"/>
      </c>
      <c r="AC177" s="736"/>
      <c r="AD177" s="733">
        <f>IF(AC177&lt;&gt;0,-(AC177-Y177)/AC177,"")</f>
      </c>
      <c r="AE177" s="747">
        <f t="shared" si="60"/>
        <v>952</v>
      </c>
      <c r="AF177" s="748">
        <f t="shared" si="61"/>
        <v>238</v>
      </c>
      <c r="AG177" s="764">
        <v>952</v>
      </c>
      <c r="AH177" s="765">
        <v>238</v>
      </c>
      <c r="AI177" s="751">
        <f t="shared" si="62"/>
        <v>0</v>
      </c>
      <c r="AJ177" s="751">
        <f t="shared" si="63"/>
        <v>1</v>
      </c>
      <c r="AK177" s="748">
        <f t="shared" si="64"/>
        <v>238</v>
      </c>
      <c r="AL177" s="752">
        <f t="shared" si="65"/>
        <v>4</v>
      </c>
      <c r="AM177" s="753">
        <v>952</v>
      </c>
      <c r="AN177" s="751">
        <f t="shared" si="68"/>
        <v>0</v>
      </c>
      <c r="AO177" s="497">
        <f>108013.25+68864+27976+10214+2402+2209+1188+2968+1780+1780+2427.4+364.82+248.58+1780+1188+952</f>
        <v>234355.05</v>
      </c>
      <c r="AP177" s="498">
        <f>12202+8144+4339+1841+481+460+297+742+445+445+599+87+57+445+297+238</f>
        <v>31119</v>
      </c>
      <c r="AQ177" s="768">
        <f>AO177/AP177</f>
        <v>7.5309312638580925</v>
      </c>
      <c r="AR177" s="316">
        <v>40907</v>
      </c>
      <c r="AS177" s="509" t="s">
        <v>349</v>
      </c>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row>
    <row r="178" spans="1:45" s="10" customFormat="1" ht="18" thickBot="1">
      <c r="A178" s="393"/>
      <c r="B178" s="187"/>
      <c r="C178" s="187"/>
      <c r="D178" s="187"/>
      <c r="E178" s="187"/>
      <c r="F178" s="187"/>
      <c r="G178" s="187"/>
      <c r="H178" s="187"/>
      <c r="I178" s="188"/>
      <c r="J178" s="189"/>
      <c r="K178" s="189"/>
      <c r="L178" s="189"/>
      <c r="M178" s="189"/>
      <c r="N178" s="190"/>
      <c r="O178" s="191"/>
      <c r="P178" s="192"/>
      <c r="Q178" s="192"/>
      <c r="R178" s="192"/>
      <c r="S178" s="193"/>
      <c r="T178" s="194"/>
      <c r="U178" s="193"/>
      <c r="V178" s="194"/>
      <c r="W178" s="193"/>
      <c r="X178" s="194"/>
      <c r="Y178" s="195">
        <f>SUM(Y11:Y177)</f>
        <v>11359945.33</v>
      </c>
      <c r="Z178" s="196">
        <f>SUM(Z11:Z177)</f>
        <v>1190913</v>
      </c>
      <c r="AA178" s="197"/>
      <c r="AB178" s="198">
        <f t="shared" si="67"/>
        <v>9.53885408086065</v>
      </c>
      <c r="AC178" s="195"/>
      <c r="AD178" s="199">
        <f>IF(AC178&lt;&gt;0,-(AC178-Y178)/AC178,"")</f>
      </c>
      <c r="AE178" s="198"/>
      <c r="AF178" s="197"/>
      <c r="AG178" s="200"/>
      <c r="AH178" s="201"/>
      <c r="AI178" s="202"/>
      <c r="AJ178" s="202"/>
      <c r="AK178" s="203"/>
      <c r="AL178" s="204"/>
      <c r="AM178" s="204"/>
      <c r="AN178" s="204"/>
      <c r="AO178" s="205"/>
      <c r="AP178" s="205"/>
      <c r="AQ178" s="204"/>
      <c r="AR178" s="204"/>
      <c r="AS178" s="409"/>
    </row>
    <row r="179" spans="1:102" s="91" customFormat="1" ht="12.75">
      <c r="A179" s="905" t="s">
        <v>235</v>
      </c>
      <c r="B179" s="906"/>
      <c r="C179" s="906"/>
      <c r="D179" s="906"/>
      <c r="E179" s="906"/>
      <c r="F179" s="906"/>
      <c r="G179" s="906"/>
      <c r="H179" s="906"/>
      <c r="I179" s="906"/>
      <c r="J179" s="906"/>
      <c r="K179" s="906"/>
      <c r="L179" s="906"/>
      <c r="M179" s="906"/>
      <c r="N179" s="906"/>
      <c r="O179" s="906"/>
      <c r="P179" s="906"/>
      <c r="Q179" s="906"/>
      <c r="R179" s="906"/>
      <c r="S179" s="906"/>
      <c r="T179" s="906"/>
      <c r="U179" s="906"/>
      <c r="V179" s="906"/>
      <c r="W179" s="906"/>
      <c r="X179" s="906"/>
      <c r="Y179" s="906"/>
      <c r="Z179" s="906"/>
      <c r="AA179" s="906"/>
      <c r="AB179" s="906"/>
      <c r="AC179" s="906"/>
      <c r="AD179" s="906"/>
      <c r="AE179" s="906"/>
      <c r="AF179" s="906"/>
      <c r="AG179" s="906"/>
      <c r="AH179" s="906"/>
      <c r="AI179" s="906"/>
      <c r="AJ179" s="906"/>
      <c r="AK179" s="906"/>
      <c r="AL179" s="906"/>
      <c r="AM179" s="906"/>
      <c r="AN179" s="906"/>
      <c r="AO179" s="906"/>
      <c r="AP179" s="906"/>
      <c r="AQ179" s="888"/>
      <c r="AR179" s="888"/>
      <c r="AS179" s="888"/>
      <c r="AT179" s="408"/>
      <c r="AU179" s="408"/>
      <c r="AV179" s="408"/>
      <c r="AW179" s="408"/>
      <c r="AX179" s="408"/>
      <c r="AY179" s="408"/>
      <c r="AZ179" s="408"/>
      <c r="BA179" s="408"/>
      <c r="BB179" s="408"/>
      <c r="BC179" s="408"/>
      <c r="BD179" s="408"/>
      <c r="BE179" s="408"/>
      <c r="BF179" s="408"/>
      <c r="BG179" s="408"/>
      <c r="BH179" s="408"/>
      <c r="BI179" s="408"/>
      <c r="BJ179" s="408"/>
      <c r="BK179" s="408"/>
      <c r="BL179" s="408"/>
      <c r="BM179" s="408"/>
      <c r="BN179" s="408"/>
      <c r="BO179" s="408"/>
      <c r="BP179" s="408"/>
      <c r="BQ179" s="408"/>
      <c r="BR179" s="408"/>
      <c r="BS179" s="408"/>
      <c r="BT179" s="408"/>
      <c r="BU179" s="408"/>
      <c r="BV179" s="408"/>
      <c r="BW179" s="408"/>
      <c r="BX179" s="408"/>
      <c r="BY179" s="408"/>
      <c r="BZ179" s="408"/>
      <c r="CA179" s="408"/>
      <c r="CB179" s="408"/>
      <c r="CC179" s="408"/>
      <c r="CD179" s="408"/>
      <c r="CE179" s="408"/>
      <c r="CF179" s="408"/>
      <c r="CG179" s="408"/>
      <c r="CH179" s="408"/>
      <c r="CI179" s="408"/>
      <c r="CJ179" s="408"/>
      <c r="CK179" s="408"/>
      <c r="CL179" s="408"/>
      <c r="CM179" s="408"/>
      <c r="CN179" s="408"/>
      <c r="CO179" s="408"/>
      <c r="CP179" s="408"/>
      <c r="CQ179" s="408"/>
      <c r="CR179" s="408"/>
      <c r="CS179" s="408"/>
      <c r="CT179" s="408"/>
      <c r="CU179" s="408"/>
      <c r="CV179" s="408"/>
      <c r="CW179" s="408"/>
      <c r="CX179" s="408"/>
    </row>
    <row r="180" spans="1:102" s="91" customFormat="1" ht="12.75">
      <c r="A180" s="907"/>
      <c r="B180" s="906"/>
      <c r="C180" s="906"/>
      <c r="D180" s="906"/>
      <c r="E180" s="906"/>
      <c r="F180" s="906"/>
      <c r="G180" s="906"/>
      <c r="H180" s="906"/>
      <c r="I180" s="906"/>
      <c r="J180" s="906"/>
      <c r="K180" s="906"/>
      <c r="L180" s="906"/>
      <c r="M180" s="906"/>
      <c r="N180" s="906"/>
      <c r="O180" s="906"/>
      <c r="P180" s="906"/>
      <c r="Q180" s="906"/>
      <c r="R180" s="906"/>
      <c r="S180" s="906"/>
      <c r="T180" s="906"/>
      <c r="U180" s="906"/>
      <c r="V180" s="906"/>
      <c r="W180" s="906"/>
      <c r="X180" s="906"/>
      <c r="Y180" s="906"/>
      <c r="Z180" s="906"/>
      <c r="AA180" s="906"/>
      <c r="AB180" s="906"/>
      <c r="AC180" s="906"/>
      <c r="AD180" s="906"/>
      <c r="AE180" s="906"/>
      <c r="AF180" s="906"/>
      <c r="AG180" s="906"/>
      <c r="AH180" s="906"/>
      <c r="AI180" s="906"/>
      <c r="AJ180" s="906"/>
      <c r="AK180" s="906"/>
      <c r="AL180" s="906"/>
      <c r="AM180" s="906"/>
      <c r="AN180" s="906"/>
      <c r="AO180" s="906"/>
      <c r="AP180" s="906"/>
      <c r="AQ180" s="888"/>
      <c r="AR180" s="888"/>
      <c r="AS180" s="888"/>
      <c r="AT180" s="408"/>
      <c r="AU180" s="408"/>
      <c r="AV180" s="408"/>
      <c r="AW180" s="408"/>
      <c r="AX180" s="408"/>
      <c r="AY180" s="408"/>
      <c r="AZ180" s="408"/>
      <c r="BA180" s="408"/>
      <c r="BB180" s="408"/>
      <c r="BC180" s="408"/>
      <c r="BD180" s="408"/>
      <c r="BE180" s="408"/>
      <c r="BF180" s="408"/>
      <c r="BG180" s="408"/>
      <c r="BH180" s="408"/>
      <c r="BI180" s="408"/>
      <c r="BJ180" s="408"/>
      <c r="BK180" s="408"/>
      <c r="BL180" s="408"/>
      <c r="BM180" s="408"/>
      <c r="BN180" s="408"/>
      <c r="BO180" s="408"/>
      <c r="BP180" s="408"/>
      <c r="BQ180" s="408"/>
      <c r="BR180" s="408"/>
      <c r="BS180" s="408"/>
      <c r="BT180" s="408"/>
      <c r="BU180" s="408"/>
      <c r="BV180" s="408"/>
      <c r="BW180" s="408"/>
      <c r="BX180" s="408"/>
      <c r="BY180" s="408"/>
      <c r="BZ180" s="408"/>
      <c r="CA180" s="408"/>
      <c r="CB180" s="408"/>
      <c r="CC180" s="408"/>
      <c r="CD180" s="408"/>
      <c r="CE180" s="408"/>
      <c r="CF180" s="408"/>
      <c r="CG180" s="408"/>
      <c r="CH180" s="408"/>
      <c r="CI180" s="408"/>
      <c r="CJ180" s="408"/>
      <c r="CK180" s="408"/>
      <c r="CL180" s="408"/>
      <c r="CM180" s="408"/>
      <c r="CN180" s="408"/>
      <c r="CO180" s="408"/>
      <c r="CP180" s="408"/>
      <c r="CQ180" s="408"/>
      <c r="CR180" s="408"/>
      <c r="CS180" s="408"/>
      <c r="CT180" s="408"/>
      <c r="CU180" s="408"/>
      <c r="CV180" s="408"/>
      <c r="CW180" s="408"/>
      <c r="CX180" s="408"/>
    </row>
    <row r="181" spans="1:102" s="91" customFormat="1" ht="12.75">
      <c r="A181" s="907"/>
      <c r="B181" s="906"/>
      <c r="C181" s="906"/>
      <c r="D181" s="906"/>
      <c r="E181" s="906"/>
      <c r="F181" s="906"/>
      <c r="G181" s="906"/>
      <c r="H181" s="906"/>
      <c r="I181" s="906"/>
      <c r="J181" s="906"/>
      <c r="K181" s="906"/>
      <c r="L181" s="906"/>
      <c r="M181" s="906"/>
      <c r="N181" s="906"/>
      <c r="O181" s="906"/>
      <c r="P181" s="906"/>
      <c r="Q181" s="906"/>
      <c r="R181" s="906"/>
      <c r="S181" s="906"/>
      <c r="T181" s="906"/>
      <c r="U181" s="906"/>
      <c r="V181" s="906"/>
      <c r="W181" s="906"/>
      <c r="X181" s="906"/>
      <c r="Y181" s="906"/>
      <c r="Z181" s="906"/>
      <c r="AA181" s="906"/>
      <c r="AB181" s="906"/>
      <c r="AC181" s="906"/>
      <c r="AD181" s="906"/>
      <c r="AE181" s="906"/>
      <c r="AF181" s="906"/>
      <c r="AG181" s="906"/>
      <c r="AH181" s="906"/>
      <c r="AI181" s="906"/>
      <c r="AJ181" s="906"/>
      <c r="AK181" s="906"/>
      <c r="AL181" s="906"/>
      <c r="AM181" s="906"/>
      <c r="AN181" s="906"/>
      <c r="AO181" s="906"/>
      <c r="AP181" s="906"/>
      <c r="AQ181" s="888"/>
      <c r="AR181" s="888"/>
      <c r="AS181" s="888"/>
      <c r="AT181" s="408"/>
      <c r="AU181" s="408"/>
      <c r="AV181" s="408"/>
      <c r="AW181" s="408"/>
      <c r="AX181" s="408"/>
      <c r="AY181" s="408"/>
      <c r="AZ181" s="408"/>
      <c r="BA181" s="408"/>
      <c r="BB181" s="408"/>
      <c r="BC181" s="408"/>
      <c r="BD181" s="408"/>
      <c r="BE181" s="408"/>
      <c r="BF181" s="408"/>
      <c r="BG181" s="408"/>
      <c r="BH181" s="408"/>
      <c r="BI181" s="408"/>
      <c r="BJ181" s="408"/>
      <c r="BK181" s="408"/>
      <c r="BL181" s="408"/>
      <c r="BM181" s="408"/>
      <c r="BN181" s="408"/>
      <c r="BO181" s="408"/>
      <c r="BP181" s="408"/>
      <c r="BQ181" s="408"/>
      <c r="BR181" s="408"/>
      <c r="BS181" s="408"/>
      <c r="BT181" s="408"/>
      <c r="BU181" s="408"/>
      <c r="BV181" s="408"/>
      <c r="BW181" s="408"/>
      <c r="BX181" s="408"/>
      <c r="BY181" s="408"/>
      <c r="BZ181" s="408"/>
      <c r="CA181" s="408"/>
      <c r="CB181" s="408"/>
      <c r="CC181" s="408"/>
      <c r="CD181" s="408"/>
      <c r="CE181" s="408"/>
      <c r="CF181" s="408"/>
      <c r="CG181" s="408"/>
      <c r="CH181" s="408"/>
      <c r="CI181" s="408"/>
      <c r="CJ181" s="408"/>
      <c r="CK181" s="408"/>
      <c r="CL181" s="408"/>
      <c r="CM181" s="408"/>
      <c r="CN181" s="408"/>
      <c r="CO181" s="408"/>
      <c r="CP181" s="408"/>
      <c r="CQ181" s="408"/>
      <c r="CR181" s="408"/>
      <c r="CS181" s="408"/>
      <c r="CT181" s="408"/>
      <c r="CU181" s="408"/>
      <c r="CV181" s="408"/>
      <c r="CW181" s="408"/>
      <c r="CX181" s="408"/>
    </row>
    <row r="182" spans="1:102" s="91" customFormat="1" ht="12.75">
      <c r="A182" s="907"/>
      <c r="B182" s="906"/>
      <c r="C182" s="906"/>
      <c r="D182" s="906"/>
      <c r="E182" s="906"/>
      <c r="F182" s="906"/>
      <c r="G182" s="906"/>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06"/>
      <c r="AL182" s="906"/>
      <c r="AM182" s="906"/>
      <c r="AN182" s="906"/>
      <c r="AO182" s="906"/>
      <c r="AP182" s="906"/>
      <c r="AQ182" s="888"/>
      <c r="AR182" s="888"/>
      <c r="AS182" s="888"/>
      <c r="AT182" s="408"/>
      <c r="AU182" s="408"/>
      <c r="AV182" s="408"/>
      <c r="AW182" s="408"/>
      <c r="AX182" s="408"/>
      <c r="AY182" s="408"/>
      <c r="AZ182" s="408"/>
      <c r="BA182" s="408"/>
      <c r="BB182" s="408"/>
      <c r="BC182" s="408"/>
      <c r="BD182" s="408"/>
      <c r="BE182" s="408"/>
      <c r="BF182" s="408"/>
      <c r="BG182" s="408"/>
      <c r="BH182" s="408"/>
      <c r="BI182" s="408"/>
      <c r="BJ182" s="408"/>
      <c r="BK182" s="408"/>
      <c r="BL182" s="408"/>
      <c r="BM182" s="408"/>
      <c r="BN182" s="408"/>
      <c r="BO182" s="408"/>
      <c r="BP182" s="408"/>
      <c r="BQ182" s="408"/>
      <c r="BR182" s="408"/>
      <c r="BS182" s="408"/>
      <c r="BT182" s="408"/>
      <c r="BU182" s="408"/>
      <c r="BV182" s="408"/>
      <c r="BW182" s="408"/>
      <c r="BX182" s="408"/>
      <c r="BY182" s="408"/>
      <c r="BZ182" s="408"/>
      <c r="CA182" s="408"/>
      <c r="CB182" s="408"/>
      <c r="CC182" s="408"/>
      <c r="CD182" s="408"/>
      <c r="CE182" s="408"/>
      <c r="CF182" s="408"/>
      <c r="CG182" s="408"/>
      <c r="CH182" s="408"/>
      <c r="CI182" s="408"/>
      <c r="CJ182" s="408"/>
      <c r="CK182" s="408"/>
      <c r="CL182" s="408"/>
      <c r="CM182" s="408"/>
      <c r="CN182" s="408"/>
      <c r="CO182" s="408"/>
      <c r="CP182" s="408"/>
      <c r="CQ182" s="408"/>
      <c r="CR182" s="408"/>
      <c r="CS182" s="408"/>
      <c r="CT182" s="408"/>
      <c r="CU182" s="408"/>
      <c r="CV182" s="408"/>
      <c r="CW182" s="408"/>
      <c r="CX182" s="408"/>
    </row>
    <row r="183" spans="1:102" s="91" customFormat="1" ht="12.75">
      <c r="A183" s="907"/>
      <c r="B183" s="906"/>
      <c r="C183" s="906"/>
      <c r="D183" s="906"/>
      <c r="E183" s="906"/>
      <c r="F183" s="906"/>
      <c r="G183" s="906"/>
      <c r="H183" s="906"/>
      <c r="I183" s="906"/>
      <c r="J183" s="906"/>
      <c r="K183" s="906"/>
      <c r="L183" s="906"/>
      <c r="M183" s="906"/>
      <c r="N183" s="906"/>
      <c r="O183" s="906"/>
      <c r="P183" s="906"/>
      <c r="Q183" s="906"/>
      <c r="R183" s="906"/>
      <c r="S183" s="906"/>
      <c r="T183" s="906"/>
      <c r="U183" s="906"/>
      <c r="V183" s="906"/>
      <c r="W183" s="906"/>
      <c r="X183" s="906"/>
      <c r="Y183" s="906"/>
      <c r="Z183" s="906"/>
      <c r="AA183" s="906"/>
      <c r="AB183" s="906"/>
      <c r="AC183" s="906"/>
      <c r="AD183" s="906"/>
      <c r="AE183" s="906"/>
      <c r="AF183" s="906"/>
      <c r="AG183" s="906"/>
      <c r="AH183" s="906"/>
      <c r="AI183" s="906"/>
      <c r="AJ183" s="906"/>
      <c r="AK183" s="906"/>
      <c r="AL183" s="906"/>
      <c r="AM183" s="906"/>
      <c r="AN183" s="906"/>
      <c r="AO183" s="906"/>
      <c r="AP183" s="906"/>
      <c r="AQ183" s="888"/>
      <c r="AR183" s="888"/>
      <c r="AS183" s="888"/>
      <c r="AT183" s="408"/>
      <c r="AU183" s="408"/>
      <c r="AV183" s="408"/>
      <c r="AW183" s="408"/>
      <c r="AX183" s="408"/>
      <c r="AY183" s="408"/>
      <c r="AZ183" s="408"/>
      <c r="BA183" s="408"/>
      <c r="BB183" s="408"/>
      <c r="BC183" s="408"/>
      <c r="BD183" s="408"/>
      <c r="BE183" s="408"/>
      <c r="BF183" s="408"/>
      <c r="BG183" s="408"/>
      <c r="BH183" s="408"/>
      <c r="BI183" s="408"/>
      <c r="BJ183" s="408"/>
      <c r="BK183" s="408"/>
      <c r="BL183" s="408"/>
      <c r="BM183" s="408"/>
      <c r="BN183" s="408"/>
      <c r="BO183" s="408"/>
      <c r="BP183" s="408"/>
      <c r="BQ183" s="408"/>
      <c r="BR183" s="408"/>
      <c r="BS183" s="408"/>
      <c r="BT183" s="408"/>
      <c r="BU183" s="408"/>
      <c r="BV183" s="408"/>
      <c r="BW183" s="408"/>
      <c r="BX183" s="408"/>
      <c r="BY183" s="408"/>
      <c r="BZ183" s="408"/>
      <c r="CA183" s="408"/>
      <c r="CB183" s="408"/>
      <c r="CC183" s="408"/>
      <c r="CD183" s="408"/>
      <c r="CE183" s="408"/>
      <c r="CF183" s="408"/>
      <c r="CG183" s="408"/>
      <c r="CH183" s="408"/>
      <c r="CI183" s="408"/>
      <c r="CJ183" s="408"/>
      <c r="CK183" s="408"/>
      <c r="CL183" s="408"/>
      <c r="CM183" s="408"/>
      <c r="CN183" s="408"/>
      <c r="CO183" s="408"/>
      <c r="CP183" s="408"/>
      <c r="CQ183" s="408"/>
      <c r="CR183" s="408"/>
      <c r="CS183" s="408"/>
      <c r="CT183" s="408"/>
      <c r="CU183" s="408"/>
      <c r="CV183" s="408"/>
      <c r="CW183" s="408"/>
      <c r="CX183" s="408"/>
    </row>
    <row r="184" spans="1:102" s="91" customFormat="1" ht="12.75">
      <c r="A184" s="907"/>
      <c r="B184" s="906"/>
      <c r="C184" s="906"/>
      <c r="D184" s="906"/>
      <c r="E184" s="906"/>
      <c r="F184" s="906"/>
      <c r="G184" s="906"/>
      <c r="H184" s="906"/>
      <c r="I184" s="906"/>
      <c r="J184" s="906"/>
      <c r="K184" s="906"/>
      <c r="L184" s="906"/>
      <c r="M184" s="906"/>
      <c r="N184" s="906"/>
      <c r="O184" s="906"/>
      <c r="P184" s="906"/>
      <c r="Q184" s="906"/>
      <c r="R184" s="906"/>
      <c r="S184" s="906"/>
      <c r="T184" s="906"/>
      <c r="U184" s="906"/>
      <c r="V184" s="906"/>
      <c r="W184" s="906"/>
      <c r="X184" s="906"/>
      <c r="Y184" s="906"/>
      <c r="Z184" s="906"/>
      <c r="AA184" s="906"/>
      <c r="AB184" s="906"/>
      <c r="AC184" s="906"/>
      <c r="AD184" s="906"/>
      <c r="AE184" s="906"/>
      <c r="AF184" s="906"/>
      <c r="AG184" s="906"/>
      <c r="AH184" s="906"/>
      <c r="AI184" s="906"/>
      <c r="AJ184" s="906"/>
      <c r="AK184" s="906"/>
      <c r="AL184" s="906"/>
      <c r="AM184" s="906"/>
      <c r="AN184" s="906"/>
      <c r="AO184" s="906"/>
      <c r="AP184" s="906"/>
      <c r="AQ184" s="888"/>
      <c r="AR184" s="888"/>
      <c r="AS184" s="888"/>
      <c r="AT184" s="408"/>
      <c r="AU184" s="408"/>
      <c r="AV184" s="408"/>
      <c r="AW184" s="408"/>
      <c r="AX184" s="408"/>
      <c r="AY184" s="408"/>
      <c r="AZ184" s="408"/>
      <c r="BA184" s="408"/>
      <c r="BB184" s="408"/>
      <c r="BC184" s="408"/>
      <c r="BD184" s="408"/>
      <c r="BE184" s="408"/>
      <c r="BF184" s="408"/>
      <c r="BG184" s="408"/>
      <c r="BH184" s="408"/>
      <c r="BI184" s="408"/>
      <c r="BJ184" s="408"/>
      <c r="BK184" s="408"/>
      <c r="BL184" s="408"/>
      <c r="BM184" s="408"/>
      <c r="BN184" s="408"/>
      <c r="BO184" s="408"/>
      <c r="BP184" s="408"/>
      <c r="BQ184" s="408"/>
      <c r="BR184" s="408"/>
      <c r="BS184" s="408"/>
      <c r="BT184" s="408"/>
      <c r="BU184" s="408"/>
      <c r="BV184" s="408"/>
      <c r="BW184" s="408"/>
      <c r="BX184" s="408"/>
      <c r="BY184" s="408"/>
      <c r="BZ184" s="408"/>
      <c r="CA184" s="408"/>
      <c r="CB184" s="408"/>
      <c r="CC184" s="408"/>
      <c r="CD184" s="408"/>
      <c r="CE184" s="408"/>
      <c r="CF184" s="408"/>
      <c r="CG184" s="408"/>
      <c r="CH184" s="408"/>
      <c r="CI184" s="408"/>
      <c r="CJ184" s="408"/>
      <c r="CK184" s="408"/>
      <c r="CL184" s="408"/>
      <c r="CM184" s="408"/>
      <c r="CN184" s="408"/>
      <c r="CO184" s="408"/>
      <c r="CP184" s="408"/>
      <c r="CQ184" s="408"/>
      <c r="CR184" s="408"/>
      <c r="CS184" s="408"/>
      <c r="CT184" s="408"/>
      <c r="CU184" s="408"/>
      <c r="CV184" s="408"/>
      <c r="CW184" s="408"/>
      <c r="CX184" s="408"/>
    </row>
    <row r="185" spans="2:10" ht="18.75">
      <c r="B185" s="866" t="s">
        <v>294</v>
      </c>
      <c r="C185" s="866"/>
      <c r="D185" s="866"/>
      <c r="E185" s="866"/>
      <c r="F185" s="866"/>
      <c r="G185" s="866"/>
      <c r="H185" s="866"/>
      <c r="I185" s="867"/>
      <c r="J185" s="866"/>
    </row>
    <row r="186" spans="2:10" ht="18">
      <c r="B186" s="227" t="s">
        <v>56</v>
      </c>
      <c r="C186" s="884" t="s">
        <v>277</v>
      </c>
      <c r="D186" s="885"/>
      <c r="E186" s="885"/>
      <c r="F186" s="885"/>
      <c r="G186" s="885"/>
      <c r="H186" s="885"/>
      <c r="I186" s="885"/>
      <c r="J186" s="885"/>
    </row>
    <row r="187" spans="2:10" ht="18" customHeight="1">
      <c r="B187" s="228" t="s">
        <v>261</v>
      </c>
      <c r="C187" s="871" t="s">
        <v>262</v>
      </c>
      <c r="D187" s="871"/>
      <c r="E187" s="871"/>
      <c r="F187" s="871"/>
      <c r="G187" s="871"/>
      <c r="H187" s="871"/>
      <c r="I187" s="871"/>
      <c r="J187" s="871"/>
    </row>
    <row r="188" spans="2:10" ht="18">
      <c r="B188" s="229" t="s">
        <v>223</v>
      </c>
      <c r="C188" s="897" t="s">
        <v>276</v>
      </c>
      <c r="D188" s="898"/>
      <c r="E188" s="898"/>
      <c r="F188" s="898"/>
      <c r="G188" s="898"/>
      <c r="H188" s="898"/>
      <c r="I188" s="898"/>
      <c r="J188" s="898"/>
    </row>
    <row r="189" spans="2:10" ht="18" customHeight="1">
      <c r="B189" s="230">
        <v>3</v>
      </c>
      <c r="C189" s="896" t="s">
        <v>265</v>
      </c>
      <c r="D189" s="896"/>
      <c r="E189" s="896"/>
      <c r="F189" s="896"/>
      <c r="G189" s="896"/>
      <c r="H189" s="896"/>
      <c r="I189" s="896"/>
      <c r="J189" s="896"/>
    </row>
    <row r="190" spans="2:10" ht="18" customHeight="1">
      <c r="B190" s="210">
        <v>2</v>
      </c>
      <c r="C190" s="868" t="s">
        <v>306</v>
      </c>
      <c r="D190" s="868"/>
      <c r="E190" s="868"/>
      <c r="F190" s="868"/>
      <c r="G190" s="868"/>
      <c r="H190" s="868"/>
      <c r="I190" s="868"/>
      <c r="J190" s="868"/>
    </row>
    <row r="191" spans="2:10" ht="18" customHeight="1">
      <c r="B191" s="231" t="s">
        <v>292</v>
      </c>
      <c r="C191" s="865" t="s">
        <v>293</v>
      </c>
      <c r="D191" s="865"/>
      <c r="E191" s="865"/>
      <c r="F191" s="865"/>
      <c r="G191" s="865"/>
      <c r="H191" s="865"/>
      <c r="I191" s="865"/>
      <c r="J191" s="865"/>
    </row>
    <row r="192" spans="2:10" ht="18" customHeight="1">
      <c r="B192" s="232" t="s">
        <v>55</v>
      </c>
      <c r="C192" s="894" t="s">
        <v>263</v>
      </c>
      <c r="D192" s="894"/>
      <c r="E192" s="894"/>
      <c r="F192" s="894"/>
      <c r="G192" s="894"/>
      <c r="H192" s="894"/>
      <c r="I192" s="894"/>
      <c r="J192" s="894"/>
    </row>
    <row r="193" spans="2:10" ht="18" customHeight="1">
      <c r="B193" s="233" t="s">
        <v>54</v>
      </c>
      <c r="C193" s="895" t="s">
        <v>264</v>
      </c>
      <c r="D193" s="895"/>
      <c r="E193" s="895"/>
      <c r="F193" s="895"/>
      <c r="G193" s="895"/>
      <c r="H193" s="895"/>
      <c r="I193" s="895"/>
      <c r="J193" s="895"/>
    </row>
  </sheetData>
  <sheetProtection formatCells="0" formatColumns="0" formatRows="0" insertColumns="0" insertRows="0" insertHyperlinks="0" deleteColumns="0" deleteRows="0" sort="0" autoFilter="0" pivotTables="0"/>
  <mergeCells count="60">
    <mergeCell ref="W9:X9"/>
    <mergeCell ref="C192:J192"/>
    <mergeCell ref="C193:J193"/>
    <mergeCell ref="C189:J189"/>
    <mergeCell ref="C188:J188"/>
    <mergeCell ref="A1:R1"/>
    <mergeCell ref="A2:R2"/>
    <mergeCell ref="A3:R3"/>
    <mergeCell ref="A179:AS184"/>
    <mergeCell ref="AO6:AS6"/>
    <mergeCell ref="C186:J186"/>
    <mergeCell ref="X1:AS1"/>
    <mergeCell ref="X2:X3"/>
    <mergeCell ref="W4:W5"/>
    <mergeCell ref="AO2:AP3"/>
    <mergeCell ref="A4:N5"/>
    <mergeCell ref="V2:V5"/>
    <mergeCell ref="Y2:AD2"/>
    <mergeCell ref="Y3:AD3"/>
    <mergeCell ref="W2:W3"/>
    <mergeCell ref="X4:X5"/>
    <mergeCell ref="J6:P6"/>
    <mergeCell ref="Q6:R6"/>
    <mergeCell ref="S6:AD6"/>
    <mergeCell ref="S7:T7"/>
    <mergeCell ref="U7:V7"/>
    <mergeCell ref="W7:X7"/>
    <mergeCell ref="Y7:Z7"/>
    <mergeCell ref="AA7:AB7"/>
    <mergeCell ref="AC7:AD7"/>
    <mergeCell ref="Y5:AD5"/>
    <mergeCell ref="AG4:AK4"/>
    <mergeCell ref="AI9:AJ9"/>
    <mergeCell ref="AG7:AH7"/>
    <mergeCell ref="AK9:AL9"/>
    <mergeCell ref="AI7:AJ7"/>
    <mergeCell ref="AG6:AH6"/>
    <mergeCell ref="AI6:AJ6"/>
    <mergeCell ref="Y9:Z9"/>
    <mergeCell ref="Y4:AD4"/>
    <mergeCell ref="AQ2:AS3"/>
    <mergeCell ref="AO4:AP5"/>
    <mergeCell ref="AQ4:AS5"/>
    <mergeCell ref="AA9:AB9"/>
    <mergeCell ref="AC9:AD9"/>
    <mergeCell ref="AE7:AF7"/>
    <mergeCell ref="AE6:AF6"/>
    <mergeCell ref="AK6:AL6"/>
    <mergeCell ref="AM7:AN7"/>
    <mergeCell ref="AK7:AL7"/>
    <mergeCell ref="B10:I10"/>
    <mergeCell ref="B8:I8"/>
    <mergeCell ref="C191:J191"/>
    <mergeCell ref="B185:J185"/>
    <mergeCell ref="C190:J190"/>
    <mergeCell ref="AO7:AP7"/>
    <mergeCell ref="AM9:AN9"/>
    <mergeCell ref="C187:J187"/>
    <mergeCell ref="S9:T9"/>
    <mergeCell ref="U9:V9"/>
  </mergeCells>
  <hyperlinks>
    <hyperlink ref="A3" r:id="rId1" display="http://www.antraktsinema.com"/>
  </hyperlinks>
  <printOptions/>
  <pageMargins left="0.3" right="0.13" top="0.18" bottom="0.21" header="0.13" footer="0.16"/>
  <pageSetup orientation="landscape" paperSize="9" scale="40" r:id="rId3"/>
  <ignoredErrors>
    <ignoredError sqref="AA178 AQ178 AE178:AF178 AC178 AI178:AN178" formula="1"/>
    <ignoredError sqref="AT65 AT50:AT57 AT14:AT31 AT59:AT62 AT33:AT38 A178 A12:A48 AT42:AT48 AS12:AS60 A49:A54" numberStoredAsText="1"/>
  </ignoredErrors>
  <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1" bestFit="1" customWidth="1"/>
    <col min="2" max="2" width="50.00390625" style="14" bestFit="1" customWidth="1"/>
    <col min="3" max="3" width="18.57421875" style="14" bestFit="1" customWidth="1"/>
    <col min="4" max="4" width="34.7109375" style="14" bestFit="1" customWidth="1"/>
    <col min="5" max="5" width="14.28125" style="20" bestFit="1" customWidth="1"/>
    <col min="6" max="6" width="10.140625" style="21" bestFit="1" customWidth="1"/>
    <col min="7" max="16384" width="4.421875" style="14" customWidth="1"/>
  </cols>
  <sheetData>
    <row r="1" spans="1:6" s="2" customFormat="1" ht="35.25" customHeight="1" thickBot="1">
      <c r="A1" s="926" t="s">
        <v>47</v>
      </c>
      <c r="B1" s="927"/>
      <c r="C1" s="927"/>
      <c r="D1" s="927"/>
      <c r="E1" s="919">
        <v>20</v>
      </c>
      <c r="F1" s="919"/>
    </row>
    <row r="2" spans="1:6" s="2" customFormat="1" ht="24" customHeight="1">
      <c r="A2" s="928" t="s">
        <v>48</v>
      </c>
      <c r="B2" s="929"/>
      <c r="C2" s="929"/>
      <c r="D2" s="929"/>
      <c r="E2" s="920"/>
      <c r="F2" s="920"/>
    </row>
    <row r="3" spans="1:6" s="2" customFormat="1" ht="27" thickBot="1">
      <c r="A3" s="903" t="s">
        <v>46</v>
      </c>
      <c r="B3" s="904"/>
      <c r="C3" s="904"/>
      <c r="D3" s="904"/>
      <c r="E3" s="921"/>
      <c r="F3" s="921"/>
    </row>
    <row r="4" spans="1:6" s="2" customFormat="1" ht="32.25" customHeight="1">
      <c r="A4" s="930" t="s">
        <v>755</v>
      </c>
      <c r="B4" s="931"/>
      <c r="C4" s="931"/>
      <c r="D4" s="931"/>
      <c r="E4" s="3"/>
      <c r="F4" s="3"/>
    </row>
    <row r="5" spans="1:6" s="2" customFormat="1" ht="33" customHeight="1" thickBot="1">
      <c r="A5" s="932"/>
      <c r="B5" s="932"/>
      <c r="C5" s="932"/>
      <c r="D5" s="932"/>
      <c r="E5" s="4"/>
      <c r="F5" s="4"/>
    </row>
    <row r="6" spans="1:6" s="5" customFormat="1" ht="15.75" customHeight="1" thickBot="1">
      <c r="A6" s="38"/>
      <c r="B6" s="933" t="s">
        <v>236</v>
      </c>
      <c r="C6" s="933"/>
      <c r="D6" s="933"/>
      <c r="E6" s="933"/>
      <c r="F6" s="934"/>
    </row>
    <row r="7" spans="1:6" s="6" customFormat="1" ht="12.75" customHeight="1">
      <c r="A7" s="39"/>
      <c r="B7" s="1"/>
      <c r="C7" s="1"/>
      <c r="D7" s="1"/>
      <c r="E7" s="924" t="s">
        <v>11</v>
      </c>
      <c r="F7" s="925"/>
    </row>
    <row r="8" spans="1:6" s="6" customFormat="1" ht="13.5" thickBot="1">
      <c r="A8" s="40"/>
      <c r="B8" s="8" t="s">
        <v>9</v>
      </c>
      <c r="C8" s="59" t="s">
        <v>76</v>
      </c>
      <c r="D8" s="59" t="s">
        <v>62</v>
      </c>
      <c r="E8" s="7" t="s">
        <v>7</v>
      </c>
      <c r="F8" s="851" t="s">
        <v>6</v>
      </c>
    </row>
    <row r="9" spans="1:6" s="9" customFormat="1" ht="12.75" customHeight="1">
      <c r="A9" s="79"/>
      <c r="B9" s="93"/>
      <c r="C9" s="94"/>
      <c r="D9" s="94"/>
      <c r="E9" s="922" t="s">
        <v>43</v>
      </c>
      <c r="F9" s="923"/>
    </row>
    <row r="10" spans="1:6" s="9" customFormat="1" ht="13.5" thickBot="1">
      <c r="A10" s="88"/>
      <c r="B10" s="8" t="s">
        <v>21</v>
      </c>
      <c r="C10" s="59" t="s">
        <v>75</v>
      </c>
      <c r="D10" s="59" t="s">
        <v>63</v>
      </c>
      <c r="E10" s="7" t="s">
        <v>38</v>
      </c>
      <c r="F10" s="851" t="s">
        <v>35</v>
      </c>
    </row>
    <row r="11" spans="1:6" s="10" customFormat="1" ht="13.5" customHeight="1">
      <c r="A11" s="848">
        <v>1</v>
      </c>
      <c r="B11" s="724" t="s">
        <v>718</v>
      </c>
      <c r="C11" s="852" t="s">
        <v>719</v>
      </c>
      <c r="D11" s="853" t="s">
        <v>718</v>
      </c>
      <c r="E11" s="849">
        <v>8904663.57</v>
      </c>
      <c r="F11" s="850">
        <v>959082</v>
      </c>
    </row>
    <row r="12" spans="1:6" s="10" customFormat="1" ht="13.5" customHeight="1">
      <c r="A12" s="95">
        <v>2</v>
      </c>
      <c r="B12" s="207" t="s">
        <v>720</v>
      </c>
      <c r="C12" s="66" t="s">
        <v>440</v>
      </c>
      <c r="D12" s="66" t="s">
        <v>721</v>
      </c>
      <c r="E12" s="89">
        <v>629314</v>
      </c>
      <c r="F12" s="101">
        <v>56108</v>
      </c>
    </row>
    <row r="13" spans="1:6" s="10" customFormat="1" ht="13.5" customHeight="1">
      <c r="A13" s="95">
        <v>3</v>
      </c>
      <c r="B13" s="305" t="s">
        <v>566</v>
      </c>
      <c r="C13" s="854" t="s">
        <v>348</v>
      </c>
      <c r="D13" s="855" t="s">
        <v>566</v>
      </c>
      <c r="E13" s="89">
        <v>520274</v>
      </c>
      <c r="F13" s="101">
        <v>57140</v>
      </c>
    </row>
    <row r="14" spans="1:6" s="10" customFormat="1" ht="13.5" customHeight="1">
      <c r="A14" s="95">
        <v>4</v>
      </c>
      <c r="B14" s="207" t="s">
        <v>716</v>
      </c>
      <c r="C14" s="61" t="s">
        <v>92</v>
      </c>
      <c r="D14" s="66" t="s">
        <v>717</v>
      </c>
      <c r="E14" s="89">
        <v>460359</v>
      </c>
      <c r="F14" s="101">
        <v>40300</v>
      </c>
    </row>
    <row r="15" spans="1:6" s="10" customFormat="1" ht="13.5" customHeight="1">
      <c r="A15" s="95">
        <v>5</v>
      </c>
      <c r="B15" s="214" t="s">
        <v>767</v>
      </c>
      <c r="C15" s="65" t="s">
        <v>126</v>
      </c>
      <c r="D15" s="66" t="s">
        <v>768</v>
      </c>
      <c r="E15" s="89">
        <v>322482.5</v>
      </c>
      <c r="F15" s="101">
        <v>22985</v>
      </c>
    </row>
    <row r="16" spans="1:6" s="10" customFormat="1" ht="13.5" customHeight="1">
      <c r="A16" s="95">
        <v>6</v>
      </c>
      <c r="B16" s="211" t="s">
        <v>672</v>
      </c>
      <c r="C16" s="61" t="s">
        <v>676</v>
      </c>
      <c r="D16" s="63" t="s">
        <v>674</v>
      </c>
      <c r="E16" s="89">
        <v>103919</v>
      </c>
      <c r="F16" s="101">
        <v>9172</v>
      </c>
    </row>
    <row r="17" spans="1:6" s="10" customFormat="1" ht="13.5" customHeight="1">
      <c r="A17" s="95">
        <v>7</v>
      </c>
      <c r="B17" s="215" t="s">
        <v>679</v>
      </c>
      <c r="C17" s="61" t="s">
        <v>680</v>
      </c>
      <c r="D17" s="64" t="s">
        <v>681</v>
      </c>
      <c r="E17" s="89">
        <v>67177</v>
      </c>
      <c r="F17" s="101">
        <v>6105</v>
      </c>
    </row>
    <row r="18" spans="1:6" s="10" customFormat="1" ht="13.5" customHeight="1">
      <c r="A18" s="95">
        <v>8</v>
      </c>
      <c r="B18" s="207" t="s">
        <v>766</v>
      </c>
      <c r="C18" s="66" t="s">
        <v>342</v>
      </c>
      <c r="D18" s="66" t="s">
        <v>765</v>
      </c>
      <c r="E18" s="89">
        <v>48486</v>
      </c>
      <c r="F18" s="101">
        <v>3244</v>
      </c>
    </row>
    <row r="19" spans="1:6" s="10" customFormat="1" ht="13.5" customHeight="1">
      <c r="A19" s="95">
        <v>9</v>
      </c>
      <c r="B19" s="214" t="s">
        <v>671</v>
      </c>
      <c r="C19" s="65" t="s">
        <v>677</v>
      </c>
      <c r="D19" s="66" t="s">
        <v>678</v>
      </c>
      <c r="E19" s="89">
        <v>35688.5</v>
      </c>
      <c r="F19" s="101">
        <v>2504</v>
      </c>
    </row>
    <row r="20" spans="1:6" s="10" customFormat="1" ht="13.5" customHeight="1">
      <c r="A20" s="95">
        <v>10</v>
      </c>
      <c r="B20" s="215" t="s">
        <v>430</v>
      </c>
      <c r="C20" s="61" t="s">
        <v>432</v>
      </c>
      <c r="D20" s="64" t="s">
        <v>431</v>
      </c>
      <c r="E20" s="89">
        <v>31582</v>
      </c>
      <c r="F20" s="101">
        <v>3875</v>
      </c>
    </row>
    <row r="21" spans="1:6" s="10" customFormat="1" ht="13.5" customHeight="1">
      <c r="A21" s="95">
        <v>11</v>
      </c>
      <c r="B21" s="215" t="s">
        <v>666</v>
      </c>
      <c r="C21" s="64" t="s">
        <v>667</v>
      </c>
      <c r="D21" s="64" t="s">
        <v>665</v>
      </c>
      <c r="E21" s="89">
        <v>23273</v>
      </c>
      <c r="F21" s="101">
        <v>1938</v>
      </c>
    </row>
    <row r="22" spans="1:6" s="10" customFormat="1" ht="13.5" customHeight="1">
      <c r="A22" s="95">
        <v>12</v>
      </c>
      <c r="B22" s="305" t="s">
        <v>141</v>
      </c>
      <c r="C22" s="854" t="s">
        <v>142</v>
      </c>
      <c r="D22" s="855" t="s">
        <v>141</v>
      </c>
      <c r="E22" s="89">
        <v>19472</v>
      </c>
      <c r="F22" s="101">
        <v>2370</v>
      </c>
    </row>
    <row r="23" spans="1:6" s="10" customFormat="1" ht="13.5" customHeight="1">
      <c r="A23" s="95">
        <v>13</v>
      </c>
      <c r="B23" s="211" t="s">
        <v>383</v>
      </c>
      <c r="C23" s="61" t="s">
        <v>217</v>
      </c>
      <c r="D23" s="63" t="s">
        <v>384</v>
      </c>
      <c r="E23" s="89">
        <v>19377</v>
      </c>
      <c r="F23" s="101">
        <v>2498</v>
      </c>
    </row>
    <row r="24" spans="1:6" s="10" customFormat="1" ht="13.5" customHeight="1">
      <c r="A24" s="95">
        <v>14</v>
      </c>
      <c r="B24" s="211" t="s">
        <v>563</v>
      </c>
      <c r="C24" s="63" t="s">
        <v>565</v>
      </c>
      <c r="D24" s="63" t="s">
        <v>564</v>
      </c>
      <c r="E24" s="89">
        <v>14203</v>
      </c>
      <c r="F24" s="101">
        <v>1243</v>
      </c>
    </row>
    <row r="25" spans="1:6" s="10" customFormat="1" ht="13.5" customHeight="1">
      <c r="A25" s="95">
        <v>15</v>
      </c>
      <c r="B25" s="209" t="s">
        <v>433</v>
      </c>
      <c r="C25" s="61" t="s">
        <v>91</v>
      </c>
      <c r="D25" s="68" t="s">
        <v>426</v>
      </c>
      <c r="E25" s="89">
        <v>13200</v>
      </c>
      <c r="F25" s="101">
        <v>1740</v>
      </c>
    </row>
    <row r="26" spans="1:6" s="10" customFormat="1" ht="13.5" customHeight="1">
      <c r="A26" s="95">
        <v>16</v>
      </c>
      <c r="B26" s="214" t="s">
        <v>690</v>
      </c>
      <c r="C26" s="65" t="s">
        <v>126</v>
      </c>
      <c r="D26" s="66" t="s">
        <v>689</v>
      </c>
      <c r="E26" s="89">
        <v>12845.5</v>
      </c>
      <c r="F26" s="101">
        <v>864</v>
      </c>
    </row>
    <row r="27" spans="1:6" s="10" customFormat="1" ht="13.5" customHeight="1">
      <c r="A27" s="95">
        <v>17</v>
      </c>
      <c r="B27" s="211" t="s">
        <v>144</v>
      </c>
      <c r="C27" s="61" t="s">
        <v>126</v>
      </c>
      <c r="D27" s="63" t="s">
        <v>145</v>
      </c>
      <c r="E27" s="89">
        <v>7875</v>
      </c>
      <c r="F27" s="101">
        <v>1897</v>
      </c>
    </row>
    <row r="28" spans="1:6" s="10" customFormat="1" ht="13.5" customHeight="1">
      <c r="A28" s="95">
        <v>18</v>
      </c>
      <c r="B28" s="209" t="s">
        <v>632</v>
      </c>
      <c r="C28" s="61" t="s">
        <v>633</v>
      </c>
      <c r="D28" s="68" t="s">
        <v>634</v>
      </c>
      <c r="E28" s="89">
        <v>7557</v>
      </c>
      <c r="F28" s="101">
        <v>768</v>
      </c>
    </row>
    <row r="29" spans="1:6" s="10" customFormat="1" ht="13.5" customHeight="1">
      <c r="A29" s="95">
        <v>19</v>
      </c>
      <c r="B29" s="330" t="s">
        <v>631</v>
      </c>
      <c r="C29" s="854" t="s">
        <v>639</v>
      </c>
      <c r="D29" s="856" t="s">
        <v>631</v>
      </c>
      <c r="E29" s="89">
        <v>7121</v>
      </c>
      <c r="F29" s="101">
        <v>1028</v>
      </c>
    </row>
    <row r="30" spans="1:6" s="10" customFormat="1" ht="13.5" customHeight="1" thickBot="1">
      <c r="A30" s="96">
        <v>20</v>
      </c>
      <c r="B30" s="215" t="s">
        <v>668</v>
      </c>
      <c r="C30" s="61" t="s">
        <v>669</v>
      </c>
      <c r="D30" s="64" t="s">
        <v>670</v>
      </c>
      <c r="E30" s="90">
        <v>6576.26</v>
      </c>
      <c r="F30" s="102">
        <v>684</v>
      </c>
    </row>
    <row r="31" spans="1:6" ht="18">
      <c r="A31" s="910" t="s">
        <v>14</v>
      </c>
      <c r="B31" s="911"/>
      <c r="C31" s="911"/>
      <c r="D31" s="911"/>
      <c r="E31" s="911"/>
      <c r="F31" s="912"/>
    </row>
    <row r="32" spans="1:6" ht="18">
      <c r="A32" s="913"/>
      <c r="B32" s="914"/>
      <c r="C32" s="914"/>
      <c r="D32" s="914"/>
      <c r="E32" s="914"/>
      <c r="F32" s="915"/>
    </row>
    <row r="33" spans="1:6" ht="18">
      <c r="A33" s="913"/>
      <c r="B33" s="914"/>
      <c r="C33" s="914"/>
      <c r="D33" s="914"/>
      <c r="E33" s="914"/>
      <c r="F33" s="915"/>
    </row>
    <row r="34" spans="1:6" ht="18">
      <c r="A34" s="913"/>
      <c r="B34" s="914"/>
      <c r="C34" s="914"/>
      <c r="D34" s="914"/>
      <c r="E34" s="914"/>
      <c r="F34" s="915"/>
    </row>
    <row r="35" spans="1:6" ht="18">
      <c r="A35" s="913"/>
      <c r="B35" s="914"/>
      <c r="C35" s="914"/>
      <c r="D35" s="914"/>
      <c r="E35" s="914"/>
      <c r="F35" s="915"/>
    </row>
    <row r="36" spans="1:6" ht="18.75" thickBot="1">
      <c r="A36" s="916"/>
      <c r="B36" s="917"/>
      <c r="C36" s="917"/>
      <c r="D36" s="917"/>
      <c r="E36" s="917"/>
      <c r="F36" s="918"/>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50.00390625" style="14" bestFit="1" customWidth="1"/>
    <col min="3" max="3" width="18.57421875" style="14" bestFit="1" customWidth="1"/>
    <col min="4" max="4" width="34.7109375" style="14" bestFit="1" customWidth="1"/>
    <col min="5" max="5" width="14.28125" style="20" bestFit="1" customWidth="1"/>
    <col min="6" max="6" width="10.140625" style="21" bestFit="1" customWidth="1"/>
    <col min="7" max="16384" width="4.421875" style="14" customWidth="1"/>
  </cols>
  <sheetData>
    <row r="1" spans="1:6" s="2" customFormat="1" ht="35.25" customHeight="1" thickBot="1">
      <c r="A1" s="926" t="s">
        <v>305</v>
      </c>
      <c r="B1" s="927"/>
      <c r="C1" s="927"/>
      <c r="D1" s="927"/>
      <c r="E1" s="919">
        <v>20</v>
      </c>
      <c r="F1" s="919"/>
    </row>
    <row r="2" spans="1:6" s="2" customFormat="1" ht="24" customHeight="1">
      <c r="A2" s="928" t="s">
        <v>48</v>
      </c>
      <c r="B2" s="929"/>
      <c r="C2" s="929"/>
      <c r="D2" s="929"/>
      <c r="E2" s="920"/>
      <c r="F2" s="920"/>
    </row>
    <row r="3" spans="1:6" s="2" customFormat="1" ht="27" thickBot="1">
      <c r="A3" s="903" t="s">
        <v>46</v>
      </c>
      <c r="B3" s="904"/>
      <c r="C3" s="904"/>
      <c r="D3" s="904"/>
      <c r="E3" s="921"/>
      <c r="F3" s="921"/>
    </row>
    <row r="4" spans="1:6" s="2" customFormat="1" ht="32.25" customHeight="1">
      <c r="A4" s="930" t="s">
        <v>725</v>
      </c>
      <c r="B4" s="931"/>
      <c r="C4" s="931"/>
      <c r="D4" s="931"/>
      <c r="E4" s="3"/>
      <c r="F4" s="3"/>
    </row>
    <row r="5" spans="1:6" s="2" customFormat="1" ht="33" customHeight="1" thickBot="1">
      <c r="A5" s="932"/>
      <c r="B5" s="932"/>
      <c r="C5" s="932"/>
      <c r="D5" s="932"/>
      <c r="E5" s="4"/>
      <c r="F5" s="4"/>
    </row>
    <row r="6" spans="1:6" s="5" customFormat="1" ht="15.75" customHeight="1" thickBot="1">
      <c r="A6" s="38"/>
      <c r="B6" s="933" t="s">
        <v>236</v>
      </c>
      <c r="C6" s="933"/>
      <c r="D6" s="933"/>
      <c r="E6" s="933"/>
      <c r="F6" s="933"/>
    </row>
    <row r="7" spans="1:6" s="6" customFormat="1" ht="12.75" customHeight="1">
      <c r="A7" s="39"/>
      <c r="B7" s="1"/>
      <c r="C7" s="1"/>
      <c r="D7" s="1"/>
      <c r="E7" s="924" t="s">
        <v>11</v>
      </c>
      <c r="F7" s="924"/>
    </row>
    <row r="8" spans="1:6" s="6" customFormat="1" ht="13.5" thickBot="1">
      <c r="A8" s="40"/>
      <c r="B8" s="8" t="s">
        <v>9</v>
      </c>
      <c r="C8" s="59" t="s">
        <v>76</v>
      </c>
      <c r="D8" s="59" t="s">
        <v>62</v>
      </c>
      <c r="E8" s="7" t="s">
        <v>7</v>
      </c>
      <c r="F8" s="7" t="s">
        <v>6</v>
      </c>
    </row>
    <row r="9" spans="1:6" s="9" customFormat="1" ht="12.75" customHeight="1">
      <c r="A9" s="79"/>
      <c r="B9" s="93"/>
      <c r="C9" s="94"/>
      <c r="D9" s="94"/>
      <c r="E9" s="922" t="s">
        <v>43</v>
      </c>
      <c r="F9" s="922"/>
    </row>
    <row r="10" spans="1:6" s="9" customFormat="1" ht="13.5" thickBot="1">
      <c r="A10" s="88"/>
      <c r="B10" s="98" t="s">
        <v>21</v>
      </c>
      <c r="C10" s="99" t="s">
        <v>75</v>
      </c>
      <c r="D10" s="99" t="s">
        <v>63</v>
      </c>
      <c r="E10" s="100" t="s">
        <v>38</v>
      </c>
      <c r="F10" s="100" t="s">
        <v>35</v>
      </c>
    </row>
    <row r="11" spans="1:6" s="10" customFormat="1" ht="13.5" customHeight="1">
      <c r="A11" s="97">
        <v>1</v>
      </c>
      <c r="B11" s="512" t="s">
        <v>718</v>
      </c>
      <c r="C11" s="513" t="s">
        <v>719</v>
      </c>
      <c r="D11" s="514" t="s">
        <v>718</v>
      </c>
      <c r="E11" s="375">
        <v>19448837.72</v>
      </c>
      <c r="F11" s="376">
        <v>2233041</v>
      </c>
    </row>
    <row r="12" spans="1:6" s="10" customFormat="1" ht="13.5" customHeight="1">
      <c r="A12" s="95">
        <v>2</v>
      </c>
      <c r="B12" s="305" t="s">
        <v>720</v>
      </c>
      <c r="C12" s="66" t="s">
        <v>440</v>
      </c>
      <c r="D12" s="66" t="s">
        <v>721</v>
      </c>
      <c r="E12" s="377">
        <v>1575487</v>
      </c>
      <c r="F12" s="378">
        <v>148477</v>
      </c>
    </row>
    <row r="13" spans="1:6" s="10" customFormat="1" ht="13.5" customHeight="1">
      <c r="A13" s="95">
        <v>3</v>
      </c>
      <c r="B13" s="515" t="s">
        <v>566</v>
      </c>
      <c r="C13" s="516" t="s">
        <v>348</v>
      </c>
      <c r="D13" s="517" t="s">
        <v>566</v>
      </c>
      <c r="E13" s="377">
        <v>1192174</v>
      </c>
      <c r="F13" s="378">
        <v>134260</v>
      </c>
    </row>
    <row r="14" spans="1:6" s="10" customFormat="1" ht="13.5" customHeight="1">
      <c r="A14" s="95">
        <v>4</v>
      </c>
      <c r="B14" s="305" t="s">
        <v>716</v>
      </c>
      <c r="C14" s="61" t="s">
        <v>92</v>
      </c>
      <c r="D14" s="66" t="s">
        <v>717</v>
      </c>
      <c r="E14" s="379">
        <v>749423</v>
      </c>
      <c r="F14" s="380">
        <v>68558</v>
      </c>
    </row>
    <row r="15" spans="1:6" s="10" customFormat="1" ht="13.5" customHeight="1">
      <c r="A15" s="95">
        <v>5</v>
      </c>
      <c r="B15" s="215" t="s">
        <v>679</v>
      </c>
      <c r="C15" s="61" t="s">
        <v>680</v>
      </c>
      <c r="D15" s="64" t="s">
        <v>681</v>
      </c>
      <c r="E15" s="377">
        <v>258944</v>
      </c>
      <c r="F15" s="378">
        <v>23873</v>
      </c>
    </row>
    <row r="16" spans="1:6" s="10" customFormat="1" ht="13.5" customHeight="1">
      <c r="A16" s="95">
        <v>6</v>
      </c>
      <c r="B16" s="211" t="s">
        <v>672</v>
      </c>
      <c r="C16" s="61" t="s">
        <v>676</v>
      </c>
      <c r="D16" s="63" t="s">
        <v>674</v>
      </c>
      <c r="E16" s="379">
        <v>252825</v>
      </c>
      <c r="F16" s="380">
        <v>22449</v>
      </c>
    </row>
    <row r="17" spans="1:6" s="10" customFormat="1" ht="13.5" customHeight="1">
      <c r="A17" s="95">
        <v>7</v>
      </c>
      <c r="B17" s="214" t="s">
        <v>690</v>
      </c>
      <c r="C17" s="65" t="s">
        <v>126</v>
      </c>
      <c r="D17" s="66" t="s">
        <v>689</v>
      </c>
      <c r="E17" s="379">
        <v>152052.5</v>
      </c>
      <c r="F17" s="380">
        <v>11789</v>
      </c>
    </row>
    <row r="18" spans="1:6" s="10" customFormat="1" ht="13.5" customHeight="1">
      <c r="A18" s="95">
        <v>8</v>
      </c>
      <c r="B18" s="214" t="s">
        <v>671</v>
      </c>
      <c r="C18" s="65" t="s">
        <v>677</v>
      </c>
      <c r="D18" s="66" t="s">
        <v>678</v>
      </c>
      <c r="E18" s="377">
        <v>123971.25</v>
      </c>
      <c r="F18" s="378">
        <v>9364</v>
      </c>
    </row>
    <row r="19" spans="1:6" s="10" customFormat="1" ht="13.5" customHeight="1">
      <c r="A19" s="95">
        <v>9</v>
      </c>
      <c r="B19" s="211" t="s">
        <v>635</v>
      </c>
      <c r="C19" s="61" t="s">
        <v>641</v>
      </c>
      <c r="D19" s="63" t="s">
        <v>648</v>
      </c>
      <c r="E19" s="381">
        <v>94883</v>
      </c>
      <c r="F19" s="382">
        <v>7455</v>
      </c>
    </row>
    <row r="20" spans="1:6" s="10" customFormat="1" ht="13.5" customHeight="1">
      <c r="A20" s="95">
        <v>10</v>
      </c>
      <c r="B20" s="215" t="s">
        <v>666</v>
      </c>
      <c r="C20" s="64" t="s">
        <v>667</v>
      </c>
      <c r="D20" s="64" t="s">
        <v>665</v>
      </c>
      <c r="E20" s="383">
        <v>88999</v>
      </c>
      <c r="F20" s="384">
        <v>7207</v>
      </c>
    </row>
    <row r="21" spans="1:6" s="10" customFormat="1" ht="13.5" customHeight="1">
      <c r="A21" s="95">
        <v>11</v>
      </c>
      <c r="B21" s="515" t="s">
        <v>141</v>
      </c>
      <c r="C21" s="516" t="s">
        <v>142</v>
      </c>
      <c r="D21" s="517" t="s">
        <v>141</v>
      </c>
      <c r="E21" s="383">
        <v>71809</v>
      </c>
      <c r="F21" s="384">
        <v>8523</v>
      </c>
    </row>
    <row r="22" spans="1:6" s="10" customFormat="1" ht="13.5" customHeight="1">
      <c r="A22" s="95">
        <v>12</v>
      </c>
      <c r="B22" s="215" t="s">
        <v>430</v>
      </c>
      <c r="C22" s="61" t="s">
        <v>432</v>
      </c>
      <c r="D22" s="64" t="s">
        <v>431</v>
      </c>
      <c r="E22" s="383">
        <v>63880</v>
      </c>
      <c r="F22" s="384">
        <v>7485</v>
      </c>
    </row>
    <row r="23" spans="1:6" s="10" customFormat="1" ht="13.5" customHeight="1">
      <c r="A23" s="95">
        <v>13</v>
      </c>
      <c r="B23" s="211" t="s">
        <v>383</v>
      </c>
      <c r="C23" s="61" t="s">
        <v>217</v>
      </c>
      <c r="D23" s="63" t="s">
        <v>384</v>
      </c>
      <c r="E23" s="385">
        <v>63218</v>
      </c>
      <c r="F23" s="386">
        <v>8308</v>
      </c>
    </row>
    <row r="24" spans="1:6" s="10" customFormat="1" ht="13.5" customHeight="1">
      <c r="A24" s="95">
        <v>14</v>
      </c>
      <c r="B24" s="215" t="s">
        <v>668</v>
      </c>
      <c r="C24" s="61" t="s">
        <v>669</v>
      </c>
      <c r="D24" s="64" t="s">
        <v>670</v>
      </c>
      <c r="E24" s="379">
        <v>41944.68</v>
      </c>
      <c r="F24" s="380">
        <v>4347</v>
      </c>
    </row>
    <row r="25" spans="1:6" s="10" customFormat="1" ht="13.5" customHeight="1">
      <c r="A25" s="95">
        <v>15</v>
      </c>
      <c r="B25" s="209" t="s">
        <v>632</v>
      </c>
      <c r="C25" s="61" t="s">
        <v>633</v>
      </c>
      <c r="D25" s="68" t="s">
        <v>634</v>
      </c>
      <c r="E25" s="383">
        <v>30892</v>
      </c>
      <c r="F25" s="384">
        <v>3042</v>
      </c>
    </row>
    <row r="26" spans="1:6" s="10" customFormat="1" ht="13.5" customHeight="1">
      <c r="A26" s="95">
        <v>16</v>
      </c>
      <c r="B26" s="211" t="s">
        <v>673</v>
      </c>
      <c r="C26" s="61" t="s">
        <v>217</v>
      </c>
      <c r="D26" s="63" t="s">
        <v>675</v>
      </c>
      <c r="E26" s="383">
        <v>28294</v>
      </c>
      <c r="F26" s="384">
        <v>2332</v>
      </c>
    </row>
    <row r="27" spans="1:6" s="10" customFormat="1" ht="13.5" customHeight="1">
      <c r="A27" s="95">
        <v>17</v>
      </c>
      <c r="B27" s="518" t="s">
        <v>660</v>
      </c>
      <c r="C27" s="516" t="s">
        <v>640</v>
      </c>
      <c r="D27" s="519" t="s">
        <v>660</v>
      </c>
      <c r="E27" s="383">
        <v>25288.04</v>
      </c>
      <c r="F27" s="384">
        <v>3105</v>
      </c>
    </row>
    <row r="28" spans="1:6" s="10" customFormat="1" ht="13.5" customHeight="1">
      <c r="A28" s="95">
        <v>18</v>
      </c>
      <c r="B28" s="211" t="s">
        <v>563</v>
      </c>
      <c r="C28" s="63" t="s">
        <v>565</v>
      </c>
      <c r="D28" s="63" t="s">
        <v>564</v>
      </c>
      <c r="E28" s="379">
        <v>20509.5</v>
      </c>
      <c r="F28" s="380">
        <v>1750</v>
      </c>
    </row>
    <row r="29" spans="1:6" s="10" customFormat="1" ht="13.5" customHeight="1">
      <c r="A29" s="95">
        <v>19</v>
      </c>
      <c r="B29" s="209" t="s">
        <v>433</v>
      </c>
      <c r="C29" s="61" t="s">
        <v>91</v>
      </c>
      <c r="D29" s="68" t="s">
        <v>426</v>
      </c>
      <c r="E29" s="377">
        <v>14618</v>
      </c>
      <c r="F29" s="378">
        <v>2044</v>
      </c>
    </row>
    <row r="30" spans="1:6" s="10" customFormat="1" ht="13.5" customHeight="1" thickBot="1">
      <c r="A30" s="96">
        <v>20</v>
      </c>
      <c r="B30" s="207" t="s">
        <v>344</v>
      </c>
      <c r="C30" s="61" t="s">
        <v>126</v>
      </c>
      <c r="D30" s="66" t="s">
        <v>351</v>
      </c>
      <c r="E30" s="379">
        <v>12520.5</v>
      </c>
      <c r="F30" s="380">
        <v>2467</v>
      </c>
    </row>
    <row r="31" spans="1:6" ht="18">
      <c r="A31" s="910" t="s">
        <v>14</v>
      </c>
      <c r="B31" s="911"/>
      <c r="C31" s="911"/>
      <c r="D31" s="911"/>
      <c r="E31" s="911"/>
      <c r="F31" s="912"/>
    </row>
    <row r="32" spans="1:6" ht="18">
      <c r="A32" s="913"/>
      <c r="B32" s="914"/>
      <c r="C32" s="914"/>
      <c r="D32" s="914"/>
      <c r="E32" s="914"/>
      <c r="F32" s="915"/>
    </row>
    <row r="33" spans="1:6" ht="18">
      <c r="A33" s="913"/>
      <c r="B33" s="914"/>
      <c r="C33" s="914"/>
      <c r="D33" s="914"/>
      <c r="E33" s="914"/>
      <c r="F33" s="915"/>
    </row>
    <row r="34" spans="1:6" ht="18">
      <c r="A34" s="913"/>
      <c r="B34" s="914"/>
      <c r="C34" s="914"/>
      <c r="D34" s="914"/>
      <c r="E34" s="914"/>
      <c r="F34" s="915"/>
    </row>
    <row r="35" spans="1:6" ht="18">
      <c r="A35" s="913"/>
      <c r="B35" s="914"/>
      <c r="C35" s="914"/>
      <c r="D35" s="914"/>
      <c r="E35" s="914"/>
      <c r="F35" s="915"/>
    </row>
    <row r="36" spans="1:6" ht="18.75" thickBot="1">
      <c r="A36" s="916"/>
      <c r="B36" s="917"/>
      <c r="C36" s="917"/>
      <c r="D36" s="917"/>
      <c r="E36" s="917"/>
      <c r="F36" s="918"/>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S397"/>
  <sheetViews>
    <sheetView zoomScale="80" zoomScaleNormal="80" zoomScalePageLayoutView="0" workbookViewId="0" topLeftCell="A1">
      <selection activeCell="A3" sqref="A3:F3"/>
    </sheetView>
  </sheetViews>
  <sheetFormatPr defaultColWidth="9.140625" defaultRowHeight="12.75"/>
  <cols>
    <col min="1" max="1" width="2.28125" style="150" bestFit="1" customWidth="1"/>
    <col min="2" max="3" width="2.140625" style="150" bestFit="1" customWidth="1"/>
    <col min="4" max="4" width="2.00390625" style="150" bestFit="1" customWidth="1"/>
    <col min="5" max="5" width="2.140625" style="150" bestFit="1" customWidth="1"/>
    <col min="6" max="6" width="2.00390625" style="150" bestFit="1" customWidth="1"/>
    <col min="7" max="7" width="46.57421875" style="455" bestFit="1" customWidth="1"/>
    <col min="8" max="8" width="22.8515625" style="455" bestFit="1" customWidth="1"/>
    <col min="9" max="9" width="15.28125" style="455" bestFit="1" customWidth="1"/>
    <col min="10" max="10" width="37.421875" style="455" bestFit="1" customWidth="1"/>
    <col min="11" max="11" width="7.421875" style="455" bestFit="1" customWidth="1"/>
    <col min="12" max="12" width="17.28125" style="455" bestFit="1" customWidth="1"/>
    <col min="13" max="13" width="8.421875" style="455" bestFit="1" customWidth="1"/>
    <col min="14" max="14" width="6.7109375" style="455" bestFit="1" customWidth="1"/>
    <col min="15" max="15" width="10.28125" style="455" bestFit="1" customWidth="1"/>
    <col min="16" max="16" width="9.28125" style="455" bestFit="1" customWidth="1"/>
    <col min="17" max="17" width="11.28125" style="455" bestFit="1" customWidth="1"/>
    <col min="18" max="18" width="10.7109375" style="455" bestFit="1" customWidth="1"/>
    <col min="19" max="19" width="9.8515625" style="455" bestFit="1" customWidth="1"/>
    <col min="20" max="16384" width="9.140625" style="455" customWidth="1"/>
  </cols>
  <sheetData>
    <row r="1" spans="1:19" ht="12.75">
      <c r="A1" s="935" t="s">
        <v>726</v>
      </c>
      <c r="B1" s="936"/>
      <c r="C1" s="936"/>
      <c r="D1" s="936"/>
      <c r="E1" s="936"/>
      <c r="F1" s="936"/>
      <c r="G1" s="936"/>
      <c r="H1" s="936"/>
      <c r="I1" s="936"/>
      <c r="J1" s="936"/>
      <c r="K1" s="936"/>
      <c r="L1" s="936"/>
      <c r="M1" s="936"/>
      <c r="N1" s="936"/>
      <c r="O1" s="936"/>
      <c r="P1" s="936"/>
      <c r="Q1" s="936"/>
      <c r="R1" s="936"/>
      <c r="S1" s="937"/>
    </row>
    <row r="2" spans="1:19" ht="12.75">
      <c r="A2" s="456"/>
      <c r="B2" s="456"/>
      <c r="C2" s="456"/>
      <c r="D2" s="456"/>
      <c r="E2" s="456"/>
      <c r="F2" s="456"/>
      <c r="G2" s="456"/>
      <c r="H2" s="456"/>
      <c r="I2" s="456"/>
      <c r="J2" s="456"/>
      <c r="K2" s="456" t="s">
        <v>409</v>
      </c>
      <c r="L2" s="456"/>
      <c r="M2" s="456" t="s">
        <v>410</v>
      </c>
      <c r="N2" s="457"/>
      <c r="O2" s="458" t="s">
        <v>423</v>
      </c>
      <c r="P2" s="458" t="s">
        <v>423</v>
      </c>
      <c r="Q2" s="456" t="s">
        <v>314</v>
      </c>
      <c r="R2" s="456" t="s">
        <v>314</v>
      </c>
      <c r="S2" s="456" t="s">
        <v>411</v>
      </c>
    </row>
    <row r="3" spans="1:19" ht="13.5" thickBot="1">
      <c r="A3" s="938" t="s">
        <v>412</v>
      </c>
      <c r="B3" s="939"/>
      <c r="C3" s="939"/>
      <c r="D3" s="939"/>
      <c r="E3" s="939"/>
      <c r="F3" s="940"/>
      <c r="G3" s="459" t="s">
        <v>413</v>
      </c>
      <c r="H3" s="459" t="s">
        <v>414</v>
      </c>
      <c r="I3" s="459" t="s">
        <v>415</v>
      </c>
      <c r="J3" s="459" t="s">
        <v>416</v>
      </c>
      <c r="K3" s="459" t="s">
        <v>417</v>
      </c>
      <c r="L3" s="459" t="s">
        <v>418</v>
      </c>
      <c r="M3" s="459" t="s">
        <v>419</v>
      </c>
      <c r="N3" s="460" t="s">
        <v>310</v>
      </c>
      <c r="O3" s="461" t="s">
        <v>315</v>
      </c>
      <c r="P3" s="461" t="s">
        <v>316</v>
      </c>
      <c r="Q3" s="459" t="s">
        <v>315</v>
      </c>
      <c r="R3" s="459" t="s">
        <v>316</v>
      </c>
      <c r="S3" s="459" t="s">
        <v>421</v>
      </c>
    </row>
    <row r="4" spans="1:19" ht="9.75" customHeight="1">
      <c r="A4" s="524"/>
      <c r="B4" s="524"/>
      <c r="C4" s="524"/>
      <c r="D4" s="524"/>
      <c r="E4" s="525"/>
      <c r="F4" s="526" t="s">
        <v>54</v>
      </c>
      <c r="G4" s="540" t="s">
        <v>731</v>
      </c>
      <c r="H4" s="541" t="s">
        <v>736</v>
      </c>
      <c r="I4" s="541"/>
      <c r="J4" s="541" t="s">
        <v>731</v>
      </c>
      <c r="K4" s="542">
        <v>40606</v>
      </c>
      <c r="L4" s="541" t="s">
        <v>52</v>
      </c>
      <c r="M4" s="543">
        <v>152</v>
      </c>
      <c r="N4" s="544">
        <v>1</v>
      </c>
      <c r="O4" s="545">
        <v>2970</v>
      </c>
      <c r="P4" s="546">
        <v>594</v>
      </c>
      <c r="Q4" s="547">
        <f>1064857.25+602581.25+269086.5+86552+70688+40243.5+15124.5+5534.5+5248.5+1364+305+140+147+994+250+240+70+55+2970</f>
        <v>2166451</v>
      </c>
      <c r="R4" s="548">
        <f>118954+67997+33243+12973+11521+6623+2561+922+800+239+45+20+21+199+36+34+14+11+594</f>
        <v>256807</v>
      </c>
      <c r="S4" s="549">
        <v>40956</v>
      </c>
    </row>
    <row r="5" spans="1:19" ht="9.75" customHeight="1">
      <c r="A5" s="527"/>
      <c r="B5" s="527"/>
      <c r="C5" s="527"/>
      <c r="D5" s="527"/>
      <c r="E5" s="533"/>
      <c r="F5" s="532"/>
      <c r="G5" s="550" t="s">
        <v>100</v>
      </c>
      <c r="H5" s="551" t="s">
        <v>102</v>
      </c>
      <c r="I5" s="552" t="s">
        <v>79</v>
      </c>
      <c r="J5" s="553" t="s">
        <v>101</v>
      </c>
      <c r="K5" s="554">
        <v>40872</v>
      </c>
      <c r="L5" s="555" t="s">
        <v>68</v>
      </c>
      <c r="M5" s="551">
        <v>20</v>
      </c>
      <c r="N5" s="556">
        <v>11</v>
      </c>
      <c r="O5" s="557">
        <v>5123.5</v>
      </c>
      <c r="P5" s="558">
        <v>724</v>
      </c>
      <c r="Q5" s="559">
        <f>176767+122916.5+61599.5+22558.5+2646.5+4568+385+2545+1731+2348+5123.5</f>
        <v>403188.5</v>
      </c>
      <c r="R5" s="560">
        <f>14023+9525+5052+1961+507+655+55+406+298+346+724</f>
        <v>33552</v>
      </c>
      <c r="S5" s="561">
        <v>40949</v>
      </c>
    </row>
    <row r="6" spans="1:19" ht="9.75" customHeight="1">
      <c r="A6" s="562"/>
      <c r="B6" s="562"/>
      <c r="C6" s="562"/>
      <c r="D6" s="562"/>
      <c r="E6" s="563"/>
      <c r="F6" s="563"/>
      <c r="G6" s="564" t="s">
        <v>100</v>
      </c>
      <c r="H6" s="551" t="s">
        <v>102</v>
      </c>
      <c r="I6" s="552" t="s">
        <v>79</v>
      </c>
      <c r="J6" s="553" t="s">
        <v>101</v>
      </c>
      <c r="K6" s="565">
        <v>40872</v>
      </c>
      <c r="L6" s="555" t="s">
        <v>68</v>
      </c>
      <c r="M6" s="551">
        <v>20</v>
      </c>
      <c r="N6" s="556">
        <v>6</v>
      </c>
      <c r="O6" s="566">
        <v>4568</v>
      </c>
      <c r="P6" s="567">
        <v>655</v>
      </c>
      <c r="Q6" s="568">
        <f>176767+122916.5+61599.5+22558.5+2646.5+4568</f>
        <v>391056</v>
      </c>
      <c r="R6" s="569">
        <f>14023+9525+5052+1961+507+655</f>
        <v>31723</v>
      </c>
      <c r="S6" s="570">
        <v>40907</v>
      </c>
    </row>
    <row r="7" spans="1:19" ht="9.75" customHeight="1">
      <c r="A7" s="571"/>
      <c r="B7" s="571"/>
      <c r="C7" s="571"/>
      <c r="D7" s="571"/>
      <c r="E7" s="572"/>
      <c r="F7" s="563"/>
      <c r="G7" s="564" t="s">
        <v>100</v>
      </c>
      <c r="H7" s="551" t="s">
        <v>102</v>
      </c>
      <c r="I7" s="552" t="s">
        <v>79</v>
      </c>
      <c r="J7" s="553" t="s">
        <v>101</v>
      </c>
      <c r="K7" s="565">
        <v>40872</v>
      </c>
      <c r="L7" s="555" t="s">
        <v>68</v>
      </c>
      <c r="M7" s="551">
        <v>20</v>
      </c>
      <c r="N7" s="556">
        <v>8</v>
      </c>
      <c r="O7" s="566">
        <v>2545</v>
      </c>
      <c r="P7" s="567">
        <v>406</v>
      </c>
      <c r="Q7" s="568">
        <f>176767+122916.5+61599.5+22558.5+2646.5+4568+385+2545</f>
        <v>393986</v>
      </c>
      <c r="R7" s="569">
        <f>14023+9525+5052+1961+507+655+55+406</f>
        <v>32184</v>
      </c>
      <c r="S7" s="561">
        <v>40921</v>
      </c>
    </row>
    <row r="8" spans="1:19" ht="9.75" customHeight="1">
      <c r="A8" s="573"/>
      <c r="B8" s="573"/>
      <c r="C8" s="573"/>
      <c r="D8" s="573"/>
      <c r="E8" s="574"/>
      <c r="F8" s="575"/>
      <c r="G8" s="564" t="s">
        <v>100</v>
      </c>
      <c r="H8" s="551" t="s">
        <v>102</v>
      </c>
      <c r="I8" s="552" t="s">
        <v>79</v>
      </c>
      <c r="J8" s="553" t="s">
        <v>101</v>
      </c>
      <c r="K8" s="565">
        <v>40872</v>
      </c>
      <c r="L8" s="555" t="s">
        <v>68</v>
      </c>
      <c r="M8" s="551">
        <v>20</v>
      </c>
      <c r="N8" s="576">
        <v>10</v>
      </c>
      <c r="O8" s="566">
        <v>2348</v>
      </c>
      <c r="P8" s="567">
        <v>346</v>
      </c>
      <c r="Q8" s="568">
        <f>176767+122916.5+61599.5+22558.5+2646.5+4568+385+2545+1731+2348</f>
        <v>398065</v>
      </c>
      <c r="R8" s="569">
        <f>14023+9525+5052+1961+507+655+55+406+298+346</f>
        <v>32828</v>
      </c>
      <c r="S8" s="561">
        <v>40942</v>
      </c>
    </row>
    <row r="9" spans="1:19" ht="9.75" customHeight="1">
      <c r="A9" s="571"/>
      <c r="B9" s="571"/>
      <c r="C9" s="571"/>
      <c r="D9" s="571"/>
      <c r="E9" s="572"/>
      <c r="F9" s="563"/>
      <c r="G9" s="564" t="s">
        <v>100</v>
      </c>
      <c r="H9" s="551" t="s">
        <v>102</v>
      </c>
      <c r="I9" s="552" t="s">
        <v>79</v>
      </c>
      <c r="J9" s="553" t="s">
        <v>101</v>
      </c>
      <c r="K9" s="565">
        <v>40872</v>
      </c>
      <c r="L9" s="555" t="s">
        <v>68</v>
      </c>
      <c r="M9" s="551">
        <v>20</v>
      </c>
      <c r="N9" s="556">
        <v>9</v>
      </c>
      <c r="O9" s="566">
        <v>995</v>
      </c>
      <c r="P9" s="567">
        <v>166</v>
      </c>
      <c r="Q9" s="568">
        <f>176767+122916.5+61599.5+22558.5+2646.5+4568+385+2545+1731</f>
        <v>395717</v>
      </c>
      <c r="R9" s="569">
        <f>14023+9525+5052+1961+507+655+55+406+298</f>
        <v>32482</v>
      </c>
      <c r="S9" s="561">
        <v>40928</v>
      </c>
    </row>
    <row r="10" spans="1:19" ht="9.75" customHeight="1">
      <c r="A10" s="571"/>
      <c r="B10" s="571"/>
      <c r="C10" s="571"/>
      <c r="D10" s="571"/>
      <c r="E10" s="572"/>
      <c r="F10" s="563"/>
      <c r="G10" s="564" t="s">
        <v>100</v>
      </c>
      <c r="H10" s="551" t="s">
        <v>102</v>
      </c>
      <c r="I10" s="552" t="s">
        <v>79</v>
      </c>
      <c r="J10" s="553" t="s">
        <v>101</v>
      </c>
      <c r="K10" s="565">
        <v>40872</v>
      </c>
      <c r="L10" s="555" t="s">
        <v>68</v>
      </c>
      <c r="M10" s="577">
        <v>20</v>
      </c>
      <c r="N10" s="578">
        <v>7</v>
      </c>
      <c r="O10" s="579">
        <v>385</v>
      </c>
      <c r="P10" s="580">
        <v>55</v>
      </c>
      <c r="Q10" s="581">
        <f>176767+122916.5+61599.5+22558.5+2646.5+4568+385</f>
        <v>391441</v>
      </c>
      <c r="R10" s="582">
        <f>14023+9525+5052+1961+507+655+55</f>
        <v>31778</v>
      </c>
      <c r="S10" s="561">
        <v>40914</v>
      </c>
    </row>
    <row r="11" spans="1:19" ht="9.75" customHeight="1">
      <c r="A11" s="562"/>
      <c r="B11" s="562"/>
      <c r="C11" s="562"/>
      <c r="D11" s="562"/>
      <c r="E11" s="563"/>
      <c r="F11" s="583"/>
      <c r="G11" s="584" t="s">
        <v>196</v>
      </c>
      <c r="H11" s="551" t="s">
        <v>212</v>
      </c>
      <c r="I11" s="585" t="s">
        <v>124</v>
      </c>
      <c r="J11" s="585" t="s">
        <v>203</v>
      </c>
      <c r="K11" s="565">
        <v>40907</v>
      </c>
      <c r="L11" s="555" t="s">
        <v>12</v>
      </c>
      <c r="M11" s="551">
        <v>60</v>
      </c>
      <c r="N11" s="556">
        <v>1</v>
      </c>
      <c r="O11" s="586">
        <v>302499</v>
      </c>
      <c r="P11" s="587">
        <v>29010</v>
      </c>
      <c r="Q11" s="588">
        <v>302499</v>
      </c>
      <c r="R11" s="589">
        <v>29010</v>
      </c>
      <c r="S11" s="570">
        <v>40907</v>
      </c>
    </row>
    <row r="12" spans="1:19" ht="9.75" customHeight="1">
      <c r="A12" s="571"/>
      <c r="B12" s="571"/>
      <c r="C12" s="571"/>
      <c r="D12" s="571"/>
      <c r="E12" s="572"/>
      <c r="F12" s="572"/>
      <c r="G12" s="584" t="s">
        <v>196</v>
      </c>
      <c r="H12" s="551" t="s">
        <v>212</v>
      </c>
      <c r="I12" s="585" t="s">
        <v>124</v>
      </c>
      <c r="J12" s="585" t="s">
        <v>203</v>
      </c>
      <c r="K12" s="565">
        <v>40907</v>
      </c>
      <c r="L12" s="555" t="s">
        <v>12</v>
      </c>
      <c r="M12" s="577">
        <v>60</v>
      </c>
      <c r="N12" s="590">
        <v>2</v>
      </c>
      <c r="O12" s="591">
        <v>246978</v>
      </c>
      <c r="P12" s="592">
        <v>22817</v>
      </c>
      <c r="Q12" s="593">
        <v>549477</v>
      </c>
      <c r="R12" s="594">
        <v>51827</v>
      </c>
      <c r="S12" s="561">
        <v>40914</v>
      </c>
    </row>
    <row r="13" spans="1:19" ht="9.75" customHeight="1">
      <c r="A13" s="571"/>
      <c r="B13" s="571"/>
      <c r="C13" s="571"/>
      <c r="D13" s="571"/>
      <c r="E13" s="572"/>
      <c r="F13" s="572"/>
      <c r="G13" s="584" t="s">
        <v>196</v>
      </c>
      <c r="H13" s="551" t="s">
        <v>212</v>
      </c>
      <c r="I13" s="585" t="s">
        <v>124</v>
      </c>
      <c r="J13" s="585" t="s">
        <v>203</v>
      </c>
      <c r="K13" s="565">
        <v>40907</v>
      </c>
      <c r="L13" s="555" t="s">
        <v>12</v>
      </c>
      <c r="M13" s="551">
        <v>60</v>
      </c>
      <c r="N13" s="556">
        <v>3</v>
      </c>
      <c r="O13" s="595">
        <v>58983</v>
      </c>
      <c r="P13" s="596">
        <v>6637</v>
      </c>
      <c r="Q13" s="588">
        <v>608460</v>
      </c>
      <c r="R13" s="589">
        <v>58464</v>
      </c>
      <c r="S13" s="561">
        <v>40921</v>
      </c>
    </row>
    <row r="14" spans="1:19" ht="9.75" customHeight="1">
      <c r="A14" s="597"/>
      <c r="B14" s="597"/>
      <c r="C14" s="562"/>
      <c r="D14" s="597"/>
      <c r="E14" s="598" t="s">
        <v>55</v>
      </c>
      <c r="F14" s="599" t="s">
        <v>54</v>
      </c>
      <c r="G14" s="600" t="s">
        <v>74</v>
      </c>
      <c r="H14" s="601" t="s">
        <v>80</v>
      </c>
      <c r="I14" s="601"/>
      <c r="J14" s="601" t="s">
        <v>74</v>
      </c>
      <c r="K14" s="565">
        <v>40851</v>
      </c>
      <c r="L14" s="555" t="s">
        <v>53</v>
      </c>
      <c r="M14" s="602">
        <v>247</v>
      </c>
      <c r="N14" s="603">
        <v>9</v>
      </c>
      <c r="O14" s="604">
        <v>184428</v>
      </c>
      <c r="P14" s="605">
        <v>33224</v>
      </c>
      <c r="Q14" s="606">
        <f>2260223+2366876.75+3859638+3137342+1906742.5+252.25+1189485.5+474275+250512+184428</f>
        <v>15629775</v>
      </c>
      <c r="R14" s="607">
        <f>286038+329194+554088+452220+278080+42+178270+68355+40409+33224</f>
        <v>2219920</v>
      </c>
      <c r="S14" s="570">
        <v>40907</v>
      </c>
    </row>
    <row r="15" spans="1:19" ht="9.75" customHeight="1">
      <c r="A15" s="608"/>
      <c r="B15" s="608"/>
      <c r="C15" s="571"/>
      <c r="D15" s="608"/>
      <c r="E15" s="598" t="s">
        <v>55</v>
      </c>
      <c r="F15" s="599" t="s">
        <v>54</v>
      </c>
      <c r="G15" s="600" t="s">
        <v>74</v>
      </c>
      <c r="H15" s="601" t="s">
        <v>80</v>
      </c>
      <c r="I15" s="601"/>
      <c r="J15" s="601" t="s">
        <v>74</v>
      </c>
      <c r="K15" s="565">
        <v>40851</v>
      </c>
      <c r="L15" s="555" t="s">
        <v>53</v>
      </c>
      <c r="M15" s="609">
        <v>247</v>
      </c>
      <c r="N15" s="610">
        <v>10</v>
      </c>
      <c r="O15" s="611">
        <v>13126</v>
      </c>
      <c r="P15" s="592">
        <v>1975</v>
      </c>
      <c r="Q15" s="612">
        <f>2260223+2366876.75+3859638+3137342+1906742.5+252.25+1189485.5+474275+250512+184428+13126</f>
        <v>15642901</v>
      </c>
      <c r="R15" s="594">
        <f>286038+329194+554088+452220+278080+42+178270+68355+40409+33224+1975</f>
        <v>2221895</v>
      </c>
      <c r="S15" s="561">
        <v>40914</v>
      </c>
    </row>
    <row r="16" spans="1:19" ht="9.75" customHeight="1">
      <c r="A16" s="608"/>
      <c r="B16" s="608"/>
      <c r="C16" s="571"/>
      <c r="D16" s="608"/>
      <c r="E16" s="598" t="s">
        <v>55</v>
      </c>
      <c r="F16" s="599" t="s">
        <v>54</v>
      </c>
      <c r="G16" s="600" t="s">
        <v>74</v>
      </c>
      <c r="H16" s="601" t="s">
        <v>80</v>
      </c>
      <c r="I16" s="601"/>
      <c r="J16" s="601" t="s">
        <v>74</v>
      </c>
      <c r="K16" s="565">
        <v>40851</v>
      </c>
      <c r="L16" s="555" t="s">
        <v>53</v>
      </c>
      <c r="M16" s="602">
        <v>247</v>
      </c>
      <c r="N16" s="613">
        <v>12</v>
      </c>
      <c r="O16" s="595">
        <v>5006</v>
      </c>
      <c r="P16" s="596">
        <v>988</v>
      </c>
      <c r="Q16" s="614">
        <f>2260223+2366876.75+3859638+3137342+1906742.5+252.25+1189485.5+474275+250512+184428+13126+754+5006</f>
        <v>15648661</v>
      </c>
      <c r="R16" s="615">
        <f>286038+329194+554088+452220+278080+42+178270+68355+40409+33224+1975+104+988</f>
        <v>2222987</v>
      </c>
      <c r="S16" s="561">
        <v>40928</v>
      </c>
    </row>
    <row r="17" spans="1:19" ht="9.75" customHeight="1">
      <c r="A17" s="616"/>
      <c r="B17" s="616"/>
      <c r="C17" s="527"/>
      <c r="D17" s="616"/>
      <c r="E17" s="528" t="s">
        <v>55</v>
      </c>
      <c r="F17" s="529" t="s">
        <v>54</v>
      </c>
      <c r="G17" s="617" t="s">
        <v>74</v>
      </c>
      <c r="H17" s="601" t="s">
        <v>80</v>
      </c>
      <c r="I17" s="601"/>
      <c r="J17" s="601" t="s">
        <v>74</v>
      </c>
      <c r="K17" s="554">
        <v>40851</v>
      </c>
      <c r="L17" s="555" t="s">
        <v>53</v>
      </c>
      <c r="M17" s="602">
        <v>247</v>
      </c>
      <c r="N17" s="603">
        <v>15</v>
      </c>
      <c r="O17" s="618">
        <v>4804</v>
      </c>
      <c r="P17" s="619">
        <v>960</v>
      </c>
      <c r="Q17" s="620">
        <f>2260223+2366876.75+3859638+3137342+1906742.5+252.25+1189485.5+474275+250512+184428+13126+754+5006+188+4804</f>
        <v>15653653</v>
      </c>
      <c r="R17" s="589">
        <f>286038+329194+554088+452220+278080+42+178270+68355+40409+33224+1975+104+988+22+960</f>
        <v>2223969</v>
      </c>
      <c r="S17" s="561">
        <v>40949</v>
      </c>
    </row>
    <row r="18" spans="1:19" ht="9.75" customHeight="1">
      <c r="A18" s="616"/>
      <c r="B18" s="616"/>
      <c r="C18" s="527"/>
      <c r="D18" s="616"/>
      <c r="E18" s="528" t="s">
        <v>55</v>
      </c>
      <c r="F18" s="529" t="s">
        <v>54</v>
      </c>
      <c r="G18" s="617" t="s">
        <v>74</v>
      </c>
      <c r="H18" s="601" t="s">
        <v>80</v>
      </c>
      <c r="I18" s="601"/>
      <c r="J18" s="601" t="s">
        <v>74</v>
      </c>
      <c r="K18" s="565">
        <v>40851</v>
      </c>
      <c r="L18" s="555" t="s">
        <v>53</v>
      </c>
      <c r="M18" s="602">
        <v>247</v>
      </c>
      <c r="N18" s="603">
        <v>1</v>
      </c>
      <c r="O18" s="604">
        <v>3604</v>
      </c>
      <c r="P18" s="605">
        <v>721</v>
      </c>
      <c r="Q18" s="606">
        <f>2260223+2366876.75+3859638+3137342+1906742.5+252.25+1189485.5+474275+250512+184428+13126+754+5006+188+4804+3604</f>
        <v>15657257</v>
      </c>
      <c r="R18" s="607">
        <f>286038+329194+554088+452220+278080+42+178270+68355+40409+33224+1975+104+988+22+960+721</f>
        <v>2224690</v>
      </c>
      <c r="S18" s="561">
        <v>40956</v>
      </c>
    </row>
    <row r="19" spans="1:19" ht="9.75" customHeight="1">
      <c r="A19" s="608"/>
      <c r="B19" s="608"/>
      <c r="C19" s="571"/>
      <c r="D19" s="608"/>
      <c r="E19" s="598" t="s">
        <v>55</v>
      </c>
      <c r="F19" s="599" t="s">
        <v>54</v>
      </c>
      <c r="G19" s="600" t="s">
        <v>74</v>
      </c>
      <c r="H19" s="601" t="s">
        <v>80</v>
      </c>
      <c r="I19" s="601"/>
      <c r="J19" s="601" t="s">
        <v>74</v>
      </c>
      <c r="K19" s="565">
        <v>40851</v>
      </c>
      <c r="L19" s="555" t="s">
        <v>53</v>
      </c>
      <c r="M19" s="602">
        <v>247</v>
      </c>
      <c r="N19" s="603">
        <v>11</v>
      </c>
      <c r="O19" s="595">
        <v>754</v>
      </c>
      <c r="P19" s="596">
        <v>104</v>
      </c>
      <c r="Q19" s="606">
        <f>2260223+2366876.75+3859638+3137342+1906742.5+252.25+1189485.5+474275+250512+184428+13126+754</f>
        <v>15643655</v>
      </c>
      <c r="R19" s="607">
        <f>286038+329194+554088+452220+278080+42+178270+68355+40409+33224+1975+104</f>
        <v>2221999</v>
      </c>
      <c r="S19" s="561">
        <v>40921</v>
      </c>
    </row>
    <row r="20" spans="1:19" ht="9.75" customHeight="1">
      <c r="A20" s="608"/>
      <c r="B20" s="608"/>
      <c r="C20" s="571"/>
      <c r="D20" s="608"/>
      <c r="E20" s="598" t="s">
        <v>55</v>
      </c>
      <c r="F20" s="599" t="s">
        <v>54</v>
      </c>
      <c r="G20" s="600" t="s">
        <v>74</v>
      </c>
      <c r="H20" s="601" t="s">
        <v>80</v>
      </c>
      <c r="I20" s="601"/>
      <c r="J20" s="601" t="s">
        <v>74</v>
      </c>
      <c r="K20" s="565">
        <v>40851</v>
      </c>
      <c r="L20" s="555" t="s">
        <v>53</v>
      </c>
      <c r="M20" s="602">
        <v>247</v>
      </c>
      <c r="N20" s="603">
        <v>13</v>
      </c>
      <c r="O20" s="595">
        <v>188</v>
      </c>
      <c r="P20" s="596">
        <v>22</v>
      </c>
      <c r="Q20" s="614">
        <f>2260223+2366876.75+3859638+3137342+1906742.5+252.25+1189485.5+474275+250512+184428+13126+754+5006+188</f>
        <v>15648849</v>
      </c>
      <c r="R20" s="615">
        <f>286038+329194+554088+452220+278080+42+178270+68355+40409+33224+1975+104+988+22</f>
        <v>2223009</v>
      </c>
      <c r="S20" s="561">
        <v>40935</v>
      </c>
    </row>
    <row r="21" spans="1:19" ht="9.75" customHeight="1">
      <c r="A21" s="229" t="s">
        <v>223</v>
      </c>
      <c r="B21" s="571"/>
      <c r="C21" s="571"/>
      <c r="D21" s="571"/>
      <c r="E21" s="598" t="s">
        <v>55</v>
      </c>
      <c r="F21" s="572"/>
      <c r="G21" s="564" t="s">
        <v>272</v>
      </c>
      <c r="H21" s="551" t="s">
        <v>289</v>
      </c>
      <c r="I21" s="552" t="s">
        <v>85</v>
      </c>
      <c r="J21" s="553" t="s">
        <v>288</v>
      </c>
      <c r="K21" s="565">
        <v>40655</v>
      </c>
      <c r="L21" s="555" t="s">
        <v>68</v>
      </c>
      <c r="M21" s="551">
        <v>156</v>
      </c>
      <c r="N21" s="556">
        <v>25</v>
      </c>
      <c r="O21" s="566">
        <v>3121</v>
      </c>
      <c r="P21" s="567">
        <v>951</v>
      </c>
      <c r="Q21" s="568">
        <f>633760.5+136320.5+35218.5+12632+4659.5+2946+8058+2678+3172+3399.5+598+564+1471+2243+357+860+1425.5+8382.5+1782+968+1958+1164+407.5+84+1917+3121</f>
        <v>870147</v>
      </c>
      <c r="R21" s="569">
        <f>74640+17307+4811+1875+917+522+1372+426+632+730+116+93+159+384+67+172+356+2088+446+190+480+372+60+12+847+951</f>
        <v>110025</v>
      </c>
      <c r="S21" s="561">
        <v>40935</v>
      </c>
    </row>
    <row r="22" spans="1:19" ht="9.75" customHeight="1">
      <c r="A22" s="229" t="s">
        <v>223</v>
      </c>
      <c r="B22" s="571"/>
      <c r="C22" s="571"/>
      <c r="D22" s="571"/>
      <c r="E22" s="598" t="s">
        <v>55</v>
      </c>
      <c r="F22" s="572"/>
      <c r="G22" s="564" t="s">
        <v>272</v>
      </c>
      <c r="H22" s="551" t="s">
        <v>289</v>
      </c>
      <c r="I22" s="552" t="s">
        <v>85</v>
      </c>
      <c r="J22" s="553" t="s">
        <v>288</v>
      </c>
      <c r="K22" s="565">
        <v>40655</v>
      </c>
      <c r="L22" s="555" t="s">
        <v>68</v>
      </c>
      <c r="M22" s="551">
        <v>156</v>
      </c>
      <c r="N22" s="556">
        <v>25</v>
      </c>
      <c r="O22" s="566">
        <v>1917</v>
      </c>
      <c r="P22" s="567">
        <v>847</v>
      </c>
      <c r="Q22" s="568">
        <f>633760.5+136320.5+35218.5+12632+4659.5+2946+8058+2678+3172+3399.5+598+564+1471+2243+357+860+1425.5+8382.5+1782+968+1958+1164+407.5+84+1917</f>
        <v>867026</v>
      </c>
      <c r="R22" s="569">
        <f>74640+17307+4811+1875+917+522+1372+426+632+730+116+93+159+384+67+172+356+2088+446+190+480+372+60+12+847</f>
        <v>109074</v>
      </c>
      <c r="S22" s="561">
        <v>40928</v>
      </c>
    </row>
    <row r="23" spans="1:19" ht="9.75" customHeight="1">
      <c r="A23" s="229" t="s">
        <v>223</v>
      </c>
      <c r="B23" s="562"/>
      <c r="C23" s="562"/>
      <c r="D23" s="562"/>
      <c r="E23" s="598" t="s">
        <v>55</v>
      </c>
      <c r="F23" s="563"/>
      <c r="G23" s="564" t="s">
        <v>272</v>
      </c>
      <c r="H23" s="551" t="s">
        <v>289</v>
      </c>
      <c r="I23" s="552" t="s">
        <v>85</v>
      </c>
      <c r="J23" s="553" t="s">
        <v>288</v>
      </c>
      <c r="K23" s="565">
        <v>40655</v>
      </c>
      <c r="L23" s="555" t="s">
        <v>68</v>
      </c>
      <c r="M23" s="551">
        <v>156</v>
      </c>
      <c r="N23" s="621">
        <v>24</v>
      </c>
      <c r="O23" s="566">
        <v>84</v>
      </c>
      <c r="P23" s="567">
        <v>12</v>
      </c>
      <c r="Q23" s="568">
        <f>633760.5+136320.5+35218.5+12632+4659.5+2946+8058+2678+3172+3399.5+598+564+1471+2243+357+860+1425.5+8382.5+1782+968+1958+1164+407.5+84</f>
        <v>865109</v>
      </c>
      <c r="R23" s="569">
        <f>74640+17307+4811+1875+917+522+1372+426+632+730+116+93+159+384+67+172+356+2088+446+190+480+372+60+12</f>
        <v>108227</v>
      </c>
      <c r="S23" s="570">
        <v>40907</v>
      </c>
    </row>
    <row r="24" spans="1:19" ht="9.75" customHeight="1">
      <c r="A24" s="530" t="s">
        <v>223</v>
      </c>
      <c r="B24" s="527"/>
      <c r="C24" s="622"/>
      <c r="D24" s="531" t="s">
        <v>292</v>
      </c>
      <c r="E24" s="528" t="s">
        <v>55</v>
      </c>
      <c r="F24" s="532"/>
      <c r="G24" s="550" t="s">
        <v>357</v>
      </c>
      <c r="H24" s="553" t="s">
        <v>126</v>
      </c>
      <c r="I24" s="552" t="s">
        <v>89</v>
      </c>
      <c r="J24" s="553" t="s">
        <v>361</v>
      </c>
      <c r="K24" s="554">
        <v>40172</v>
      </c>
      <c r="L24" s="555" t="s">
        <v>68</v>
      </c>
      <c r="M24" s="551">
        <v>60</v>
      </c>
      <c r="N24" s="556">
        <v>40</v>
      </c>
      <c r="O24" s="557">
        <v>2376</v>
      </c>
      <c r="P24" s="558">
        <v>475</v>
      </c>
      <c r="Q24" s="559">
        <f>421775.5+397095.5+287050+215248.5+189819.5+180729.5+86816.5+23840+19148+14942.5+8798.5+9599+13618.5+4298+4028+3310+8547+6712.5+1803+1172+973+2291+380.5+3015+1103.5+65+2061.5+1262+1020+2232+2970+5074+2970+1188+250+200+70+4277+2138.5+1425.5+2376</f>
        <v>1935694.5</v>
      </c>
      <c r="R24" s="560">
        <f>43739+40732+31780+27356+25902+24895+12153+4496+3179+3069+1650+2236+3335+954+829+540+1945+1297+429+261+173+594+53+613+200+10+480+240+102+533+743+1267+742+297+28+20+7+1068+534+356+475</f>
        <v>239312</v>
      </c>
      <c r="S24" s="561">
        <v>40949</v>
      </c>
    </row>
    <row r="25" spans="1:19" ht="9.75" customHeight="1">
      <c r="A25" s="229" t="s">
        <v>223</v>
      </c>
      <c r="B25" s="571"/>
      <c r="C25" s="231" t="s">
        <v>292</v>
      </c>
      <c r="D25" s="571"/>
      <c r="E25" s="598" t="s">
        <v>55</v>
      </c>
      <c r="F25" s="563"/>
      <c r="G25" s="564" t="s">
        <v>357</v>
      </c>
      <c r="H25" s="553" t="s">
        <v>126</v>
      </c>
      <c r="I25" s="552"/>
      <c r="J25" s="553" t="s">
        <v>361</v>
      </c>
      <c r="K25" s="565">
        <v>40172</v>
      </c>
      <c r="L25" s="555" t="s">
        <v>68</v>
      </c>
      <c r="M25" s="577">
        <v>60</v>
      </c>
      <c r="N25" s="578">
        <v>40</v>
      </c>
      <c r="O25" s="579">
        <v>1425.5</v>
      </c>
      <c r="P25" s="580">
        <v>356</v>
      </c>
      <c r="Q25" s="581">
        <f>421775.5+397095.5+287050+215248.5+189819.5+180729.5+86816.5+23840+19148+14942.5+8798.5+9599+13618.5+4298+4028+3310+8547+6712.5+1803+1172+973+2291+380.5+3015+1103.5+65+2061.5+1262+1020+2232+2970+5074+2970+1188+250+200+70+4277+2138.5+1425.5</f>
        <v>1933318.5</v>
      </c>
      <c r="R25" s="582">
        <f>43739+40732+31780+27356+25902+24895+12153+4496+3179+3069+1650+2236+3335+954+829+540+1945+1297+429+261+173+594+53+613+200+10+480+240+102+533+743+1267+742+297+28+20+7+1068+534+356</f>
        <v>238837</v>
      </c>
      <c r="S25" s="561">
        <v>40914</v>
      </c>
    </row>
    <row r="26" spans="1:19" ht="9.75" customHeight="1">
      <c r="A26" s="229" t="s">
        <v>223</v>
      </c>
      <c r="B26" s="562"/>
      <c r="C26" s="210">
        <v>2</v>
      </c>
      <c r="D26" s="231" t="s">
        <v>292</v>
      </c>
      <c r="E26" s="598" t="s">
        <v>55</v>
      </c>
      <c r="F26" s="563"/>
      <c r="G26" s="564" t="s">
        <v>144</v>
      </c>
      <c r="H26" s="551" t="s">
        <v>126</v>
      </c>
      <c r="I26" s="552" t="s">
        <v>89</v>
      </c>
      <c r="J26" s="553" t="s">
        <v>145</v>
      </c>
      <c r="K26" s="565">
        <v>40893</v>
      </c>
      <c r="L26" s="555" t="s">
        <v>68</v>
      </c>
      <c r="M26" s="551">
        <v>131</v>
      </c>
      <c r="N26" s="556">
        <v>3</v>
      </c>
      <c r="O26" s="566">
        <v>530345</v>
      </c>
      <c r="P26" s="567">
        <v>60063</v>
      </c>
      <c r="Q26" s="568">
        <f>1320389+1047397.5+530345</f>
        <v>2898131.5</v>
      </c>
      <c r="R26" s="569">
        <f>139659+113627+60063</f>
        <v>313349</v>
      </c>
      <c r="S26" s="570">
        <v>40907</v>
      </c>
    </row>
    <row r="27" spans="1:19" ht="9.75" customHeight="1">
      <c r="A27" s="229" t="s">
        <v>223</v>
      </c>
      <c r="B27" s="571"/>
      <c r="C27" s="210">
        <v>2</v>
      </c>
      <c r="D27" s="231" t="s">
        <v>292</v>
      </c>
      <c r="E27" s="598" t="s">
        <v>55</v>
      </c>
      <c r="F27" s="563"/>
      <c r="G27" s="564" t="s">
        <v>144</v>
      </c>
      <c r="H27" s="551" t="s">
        <v>126</v>
      </c>
      <c r="I27" s="552" t="s">
        <v>89</v>
      </c>
      <c r="J27" s="553" t="s">
        <v>145</v>
      </c>
      <c r="K27" s="565">
        <v>40893</v>
      </c>
      <c r="L27" s="555" t="s">
        <v>68</v>
      </c>
      <c r="M27" s="577">
        <v>131</v>
      </c>
      <c r="N27" s="578">
        <v>4</v>
      </c>
      <c r="O27" s="579">
        <v>445722</v>
      </c>
      <c r="P27" s="580">
        <v>49146</v>
      </c>
      <c r="Q27" s="581">
        <f>1320389+1047397.5+530759.5+445722</f>
        <v>3344268</v>
      </c>
      <c r="R27" s="582">
        <f>139659+113627+60100+49146</f>
        <v>362532</v>
      </c>
      <c r="S27" s="561">
        <v>40914</v>
      </c>
    </row>
    <row r="28" spans="1:19" ht="9.75" customHeight="1">
      <c r="A28" s="229" t="s">
        <v>223</v>
      </c>
      <c r="B28" s="571"/>
      <c r="C28" s="210">
        <v>2</v>
      </c>
      <c r="D28" s="231" t="s">
        <v>292</v>
      </c>
      <c r="E28" s="598" t="s">
        <v>55</v>
      </c>
      <c r="F28" s="563"/>
      <c r="G28" s="564" t="s">
        <v>144</v>
      </c>
      <c r="H28" s="551" t="s">
        <v>126</v>
      </c>
      <c r="I28" s="552" t="s">
        <v>89</v>
      </c>
      <c r="J28" s="553" t="s">
        <v>145</v>
      </c>
      <c r="K28" s="565">
        <v>40893</v>
      </c>
      <c r="L28" s="555" t="s">
        <v>68</v>
      </c>
      <c r="M28" s="551">
        <v>131</v>
      </c>
      <c r="N28" s="556">
        <v>6</v>
      </c>
      <c r="O28" s="566">
        <v>279760.5</v>
      </c>
      <c r="P28" s="567">
        <v>35564</v>
      </c>
      <c r="Q28" s="568">
        <f>1320389+1047397.5+530759.5+445722+254656.5+279760.5</f>
        <v>3878685</v>
      </c>
      <c r="R28" s="569">
        <f>139659+113627+60100+49146+32088+35564</f>
        <v>430184</v>
      </c>
      <c r="S28" s="561">
        <v>40928</v>
      </c>
    </row>
    <row r="29" spans="1:19" ht="9.75" customHeight="1">
      <c r="A29" s="229" t="s">
        <v>223</v>
      </c>
      <c r="B29" s="571"/>
      <c r="C29" s="210">
        <v>2</v>
      </c>
      <c r="D29" s="231" t="s">
        <v>292</v>
      </c>
      <c r="E29" s="598" t="s">
        <v>55</v>
      </c>
      <c r="F29" s="563"/>
      <c r="G29" s="564" t="s">
        <v>144</v>
      </c>
      <c r="H29" s="551" t="s">
        <v>126</v>
      </c>
      <c r="I29" s="552" t="s">
        <v>89</v>
      </c>
      <c r="J29" s="553" t="s">
        <v>145</v>
      </c>
      <c r="K29" s="565">
        <v>40893</v>
      </c>
      <c r="L29" s="555" t="s">
        <v>68</v>
      </c>
      <c r="M29" s="551">
        <v>131</v>
      </c>
      <c r="N29" s="556">
        <v>5</v>
      </c>
      <c r="O29" s="566">
        <v>254766.5</v>
      </c>
      <c r="P29" s="567">
        <v>32088</v>
      </c>
      <c r="Q29" s="568">
        <f>1320389+1047397.5+530759.5+445722+254766.5</f>
        <v>3599034.5</v>
      </c>
      <c r="R29" s="569">
        <f>139659+113627+60100+49146+32088</f>
        <v>394620</v>
      </c>
      <c r="S29" s="561">
        <v>40921</v>
      </c>
    </row>
    <row r="30" spans="1:19" ht="9.75" customHeight="1">
      <c r="A30" s="229" t="s">
        <v>223</v>
      </c>
      <c r="B30" s="571"/>
      <c r="C30" s="210">
        <v>2</v>
      </c>
      <c r="D30" s="231" t="s">
        <v>292</v>
      </c>
      <c r="E30" s="598" t="s">
        <v>55</v>
      </c>
      <c r="F30" s="563"/>
      <c r="G30" s="564" t="s">
        <v>144</v>
      </c>
      <c r="H30" s="551" t="s">
        <v>126</v>
      </c>
      <c r="I30" s="552" t="s">
        <v>89</v>
      </c>
      <c r="J30" s="553" t="s">
        <v>145</v>
      </c>
      <c r="K30" s="565">
        <v>40893</v>
      </c>
      <c r="L30" s="555" t="s">
        <v>68</v>
      </c>
      <c r="M30" s="551">
        <v>131</v>
      </c>
      <c r="N30" s="556">
        <v>7</v>
      </c>
      <c r="O30" s="566">
        <v>107391.5</v>
      </c>
      <c r="P30" s="567">
        <v>15150</v>
      </c>
      <c r="Q30" s="568">
        <f>1320389+1047397.5+530759.5+445722+254656.5+279760.5+107391.5</f>
        <v>3986076.5</v>
      </c>
      <c r="R30" s="569">
        <f>139659+113627+60100+49146+32088+35564+15150</f>
        <v>445334</v>
      </c>
      <c r="S30" s="561">
        <v>40935</v>
      </c>
    </row>
    <row r="31" spans="1:19" ht="9.75" customHeight="1">
      <c r="A31" s="623" t="s">
        <v>223</v>
      </c>
      <c r="B31" s="573"/>
      <c r="C31" s="624">
        <v>2</v>
      </c>
      <c r="D31" s="625" t="s">
        <v>292</v>
      </c>
      <c r="E31" s="626" t="s">
        <v>55</v>
      </c>
      <c r="F31" s="575"/>
      <c r="G31" s="564" t="s">
        <v>144</v>
      </c>
      <c r="H31" s="551" t="s">
        <v>126</v>
      </c>
      <c r="I31" s="552" t="s">
        <v>89</v>
      </c>
      <c r="J31" s="553" t="s">
        <v>145</v>
      </c>
      <c r="K31" s="565">
        <v>40893</v>
      </c>
      <c r="L31" s="555" t="s">
        <v>68</v>
      </c>
      <c r="M31" s="551">
        <v>131</v>
      </c>
      <c r="N31" s="576">
        <v>8</v>
      </c>
      <c r="O31" s="566">
        <v>47477</v>
      </c>
      <c r="P31" s="567">
        <v>6705</v>
      </c>
      <c r="Q31" s="568">
        <f>1320389+1047397.5+530759.5+445722+254656.5+279760.5+107391.5+47477</f>
        <v>4033553.5</v>
      </c>
      <c r="R31" s="569">
        <f>139659+113627+60100+49146+32088+35564+15150+6705</f>
        <v>452039</v>
      </c>
      <c r="S31" s="561">
        <v>40942</v>
      </c>
    </row>
    <row r="32" spans="1:19" ht="9.75" customHeight="1">
      <c r="A32" s="530" t="s">
        <v>223</v>
      </c>
      <c r="B32" s="527"/>
      <c r="C32" s="364">
        <v>2</v>
      </c>
      <c r="D32" s="531" t="s">
        <v>292</v>
      </c>
      <c r="E32" s="528" t="s">
        <v>55</v>
      </c>
      <c r="F32" s="532"/>
      <c r="G32" s="550" t="s">
        <v>144</v>
      </c>
      <c r="H32" s="551" t="s">
        <v>126</v>
      </c>
      <c r="I32" s="552" t="s">
        <v>89</v>
      </c>
      <c r="J32" s="553" t="s">
        <v>145</v>
      </c>
      <c r="K32" s="554">
        <v>40893</v>
      </c>
      <c r="L32" s="555" t="s">
        <v>68</v>
      </c>
      <c r="M32" s="551">
        <v>131</v>
      </c>
      <c r="N32" s="556">
        <v>9</v>
      </c>
      <c r="O32" s="557">
        <v>25083</v>
      </c>
      <c r="P32" s="558">
        <v>3664</v>
      </c>
      <c r="Q32" s="559">
        <f>1320389+1047397.5+530759.5+445722+254656.5+279760.5+107391.5+47477+25083</f>
        <v>4058636.5</v>
      </c>
      <c r="R32" s="560">
        <f>139659+113627+60100+49146+32088+35564+15150+6705+3664</f>
        <v>455703</v>
      </c>
      <c r="S32" s="561">
        <v>40949</v>
      </c>
    </row>
    <row r="33" spans="1:19" ht="9.75" customHeight="1">
      <c r="A33" s="530" t="s">
        <v>223</v>
      </c>
      <c r="B33" s="527"/>
      <c r="C33" s="364">
        <v>2</v>
      </c>
      <c r="D33" s="531" t="s">
        <v>292</v>
      </c>
      <c r="E33" s="528" t="s">
        <v>55</v>
      </c>
      <c r="F33" s="532"/>
      <c r="G33" s="550" t="s">
        <v>144</v>
      </c>
      <c r="H33" s="551" t="s">
        <v>126</v>
      </c>
      <c r="I33" s="552" t="s">
        <v>89</v>
      </c>
      <c r="J33" s="553" t="s">
        <v>145</v>
      </c>
      <c r="K33" s="565">
        <v>40893</v>
      </c>
      <c r="L33" s="555" t="s">
        <v>68</v>
      </c>
      <c r="M33" s="551">
        <v>131</v>
      </c>
      <c r="N33" s="556">
        <v>14</v>
      </c>
      <c r="O33" s="566">
        <v>6341</v>
      </c>
      <c r="P33" s="567">
        <v>1942</v>
      </c>
      <c r="Q33" s="568">
        <f>1320389+1047397.5+530759.5+445722+254656.5+279760.5+107391.5+47477+25130+6341</f>
        <v>4065024.5</v>
      </c>
      <c r="R33" s="569">
        <f>139659+113627+60100+49146+32088+35564+15150+6705+3672+1942</f>
        <v>457653</v>
      </c>
      <c r="S33" s="561">
        <v>40956</v>
      </c>
    </row>
    <row r="34" spans="1:19" ht="9.75" customHeight="1">
      <c r="A34" s="571"/>
      <c r="B34" s="571"/>
      <c r="C34" s="571"/>
      <c r="D34" s="571"/>
      <c r="E34" s="572"/>
      <c r="F34" s="599" t="s">
        <v>54</v>
      </c>
      <c r="G34" s="564" t="s">
        <v>67</v>
      </c>
      <c r="H34" s="553" t="s">
        <v>85</v>
      </c>
      <c r="I34" s="553"/>
      <c r="J34" s="553" t="s">
        <v>67</v>
      </c>
      <c r="K34" s="565">
        <v>40844</v>
      </c>
      <c r="L34" s="555" t="s">
        <v>68</v>
      </c>
      <c r="M34" s="551">
        <v>278</v>
      </c>
      <c r="N34" s="556">
        <v>13</v>
      </c>
      <c r="O34" s="566">
        <v>17226.5</v>
      </c>
      <c r="P34" s="567">
        <v>2090</v>
      </c>
      <c r="Q34" s="568">
        <f>2021467.25+4147826.75+1641146.5+1086471.5+837723.5+353523.5+115157+12431.5+1554+13261.5+3397.5+17222.5+17226.5</f>
        <v>10268409.5</v>
      </c>
      <c r="R34" s="569">
        <f>231121+459388+190384+130345+104513+46481+14878+1830+250+1860+737+1888+2090</f>
        <v>1185765</v>
      </c>
      <c r="S34" s="561">
        <v>40928</v>
      </c>
    </row>
    <row r="35" spans="1:19" ht="9.75" customHeight="1">
      <c r="A35" s="571"/>
      <c r="B35" s="571"/>
      <c r="C35" s="571"/>
      <c r="D35" s="571"/>
      <c r="E35" s="572"/>
      <c r="F35" s="599" t="s">
        <v>54</v>
      </c>
      <c r="G35" s="564" t="s">
        <v>67</v>
      </c>
      <c r="H35" s="553" t="s">
        <v>85</v>
      </c>
      <c r="I35" s="553"/>
      <c r="J35" s="553" t="s">
        <v>67</v>
      </c>
      <c r="K35" s="565">
        <v>40844</v>
      </c>
      <c r="L35" s="555" t="s">
        <v>68</v>
      </c>
      <c r="M35" s="551">
        <v>278</v>
      </c>
      <c r="N35" s="556">
        <v>12</v>
      </c>
      <c r="O35" s="566">
        <v>17222.5</v>
      </c>
      <c r="P35" s="567">
        <v>1888</v>
      </c>
      <c r="Q35" s="568">
        <f>2021467.25+4147826.75+1641146.5+1086471.5+837723.5+353523.5+115157+12431.5+1554+13261.5+3397.5+17222.5</f>
        <v>10251183</v>
      </c>
      <c r="R35" s="569">
        <f>231121+459388+190384+130345+104513+46481+14878+1830+250+1860+737+1888</f>
        <v>1183675</v>
      </c>
      <c r="S35" s="561">
        <v>40921</v>
      </c>
    </row>
    <row r="36" spans="1:19" ht="9.75" customHeight="1">
      <c r="A36" s="562"/>
      <c r="B36" s="562"/>
      <c r="C36" s="562"/>
      <c r="D36" s="562"/>
      <c r="E36" s="563"/>
      <c r="F36" s="599" t="s">
        <v>54</v>
      </c>
      <c r="G36" s="564" t="s">
        <v>67</v>
      </c>
      <c r="H36" s="553" t="s">
        <v>85</v>
      </c>
      <c r="I36" s="553"/>
      <c r="J36" s="553" t="s">
        <v>67</v>
      </c>
      <c r="K36" s="565">
        <v>40844</v>
      </c>
      <c r="L36" s="555" t="s">
        <v>68</v>
      </c>
      <c r="M36" s="551">
        <v>278</v>
      </c>
      <c r="N36" s="556">
        <v>10</v>
      </c>
      <c r="O36" s="566">
        <v>13261.5</v>
      </c>
      <c r="P36" s="567">
        <v>1860</v>
      </c>
      <c r="Q36" s="568">
        <f>2021467.25+4147826.75+1641146.5+1086471.5+837723.5+353523.5+115157+12431.5+1554+13261.5</f>
        <v>10230563</v>
      </c>
      <c r="R36" s="569">
        <f>231121+459388+190384+130345+104513+46481+14878+1830+250+1860</f>
        <v>1181050</v>
      </c>
      <c r="S36" s="570">
        <v>40907</v>
      </c>
    </row>
    <row r="37" spans="1:19" ht="9.75" customHeight="1">
      <c r="A37" s="571"/>
      <c r="B37" s="571"/>
      <c r="C37" s="571"/>
      <c r="D37" s="571"/>
      <c r="E37" s="572"/>
      <c r="F37" s="599" t="s">
        <v>54</v>
      </c>
      <c r="G37" s="564" t="s">
        <v>67</v>
      </c>
      <c r="H37" s="553" t="s">
        <v>85</v>
      </c>
      <c r="I37" s="553"/>
      <c r="J37" s="553" t="s">
        <v>67</v>
      </c>
      <c r="K37" s="565">
        <v>40844</v>
      </c>
      <c r="L37" s="555" t="s">
        <v>68</v>
      </c>
      <c r="M37" s="551">
        <v>278</v>
      </c>
      <c r="N37" s="556">
        <v>13</v>
      </c>
      <c r="O37" s="566">
        <v>5821</v>
      </c>
      <c r="P37" s="567">
        <v>661</v>
      </c>
      <c r="Q37" s="568">
        <f>2021467.25+4147826.75+1641146.5+1086471.5+837723.5+353523.5+115157+12431.5+1554+13261.5+3397.5+17222.5+17226.5+5821</f>
        <v>10274230.5</v>
      </c>
      <c r="R37" s="569">
        <f>231121+459388+190384+130345+104513+46481+14878+1830+250+1860+737+1888+2090+661</f>
        <v>1186426</v>
      </c>
      <c r="S37" s="561">
        <v>40935</v>
      </c>
    </row>
    <row r="38" spans="1:19" ht="9.75" customHeight="1">
      <c r="A38" s="571"/>
      <c r="B38" s="571"/>
      <c r="C38" s="571"/>
      <c r="D38" s="571"/>
      <c r="E38" s="572"/>
      <c r="F38" s="599" t="s">
        <v>54</v>
      </c>
      <c r="G38" s="564" t="s">
        <v>67</v>
      </c>
      <c r="H38" s="553" t="s">
        <v>85</v>
      </c>
      <c r="I38" s="553"/>
      <c r="J38" s="553" t="s">
        <v>67</v>
      </c>
      <c r="K38" s="565">
        <v>40844</v>
      </c>
      <c r="L38" s="555" t="s">
        <v>68</v>
      </c>
      <c r="M38" s="577">
        <v>278</v>
      </c>
      <c r="N38" s="578">
        <v>11</v>
      </c>
      <c r="O38" s="579">
        <v>3397.5</v>
      </c>
      <c r="P38" s="580">
        <v>737</v>
      </c>
      <c r="Q38" s="581">
        <f>2021467.25+4147826.75+1641146.5+1086471.5+837723.5+353523.5+115157+12431.5+1554+13261.5+3397.5</f>
        <v>10233960.5</v>
      </c>
      <c r="R38" s="582">
        <f>231121+459388+190384+130345+104513+46481+14878+1830+250+1860+737</f>
        <v>1181787</v>
      </c>
      <c r="S38" s="561">
        <v>40914</v>
      </c>
    </row>
    <row r="39" spans="1:19" ht="9.75" customHeight="1">
      <c r="A39" s="527"/>
      <c r="B39" s="527"/>
      <c r="C39" s="527"/>
      <c r="D39" s="527"/>
      <c r="E39" s="533"/>
      <c r="F39" s="529" t="s">
        <v>54</v>
      </c>
      <c r="G39" s="550" t="s">
        <v>67</v>
      </c>
      <c r="H39" s="553" t="s">
        <v>85</v>
      </c>
      <c r="I39" s="553"/>
      <c r="J39" s="553" t="s">
        <v>67</v>
      </c>
      <c r="K39" s="554">
        <v>40844</v>
      </c>
      <c r="L39" s="555" t="s">
        <v>68</v>
      </c>
      <c r="M39" s="551">
        <v>278</v>
      </c>
      <c r="N39" s="556">
        <v>15</v>
      </c>
      <c r="O39" s="557">
        <v>2851</v>
      </c>
      <c r="P39" s="558">
        <v>570</v>
      </c>
      <c r="Q39" s="559">
        <f>2021467.25+4147826.75+1641146.5+1086471.5+837723.5+353523.5+115157+12431.5+1554+13261.5+3397.5+17222.5+17226.5+5821+1188+2851</f>
        <v>10278269.5</v>
      </c>
      <c r="R39" s="560">
        <f>231121+459388+190384+130345+104513+46481+14878+1830+250+1860+737+1888+2090+661+238+570</f>
        <v>1187234</v>
      </c>
      <c r="S39" s="561">
        <v>40949</v>
      </c>
    </row>
    <row r="40" spans="1:19" ht="9.75" customHeight="1">
      <c r="A40" s="527"/>
      <c r="B40" s="527"/>
      <c r="C40" s="527"/>
      <c r="D40" s="527"/>
      <c r="E40" s="533"/>
      <c r="F40" s="529" t="s">
        <v>54</v>
      </c>
      <c r="G40" s="564" t="s">
        <v>67</v>
      </c>
      <c r="H40" s="553" t="s">
        <v>85</v>
      </c>
      <c r="I40" s="553"/>
      <c r="J40" s="553" t="s">
        <v>67</v>
      </c>
      <c r="K40" s="565">
        <v>40844</v>
      </c>
      <c r="L40" s="555" t="s">
        <v>68</v>
      </c>
      <c r="M40" s="551">
        <v>278</v>
      </c>
      <c r="N40" s="556">
        <v>15</v>
      </c>
      <c r="O40" s="566">
        <v>1188</v>
      </c>
      <c r="P40" s="567">
        <v>238</v>
      </c>
      <c r="Q40" s="568">
        <f>2021467.25+4147826.75+1641146.5+1086471.5+837723.5+353523.5+115157+12431.5+1554+13261.5+3397.5+17222.5+17226.5+5821+1188</f>
        <v>10275418.5</v>
      </c>
      <c r="R40" s="569">
        <f>231121+459388+190384+130345+104513+46481+14878+1830+250+1860+737+1888+2090+661+238</f>
        <v>1186664</v>
      </c>
      <c r="S40" s="561">
        <v>40942</v>
      </c>
    </row>
    <row r="41" spans="1:19" ht="9.75" customHeight="1">
      <c r="A41" s="229" t="s">
        <v>223</v>
      </c>
      <c r="B41" s="608"/>
      <c r="C41" s="571"/>
      <c r="D41" s="597"/>
      <c r="E41" s="598" t="s">
        <v>55</v>
      </c>
      <c r="F41" s="627"/>
      <c r="G41" s="628" t="s">
        <v>266</v>
      </c>
      <c r="H41" s="602" t="s">
        <v>422</v>
      </c>
      <c r="I41" s="551" t="s">
        <v>186</v>
      </c>
      <c r="J41" s="602" t="s">
        <v>267</v>
      </c>
      <c r="K41" s="629">
        <v>39073</v>
      </c>
      <c r="L41" s="555" t="s">
        <v>53</v>
      </c>
      <c r="M41" s="630">
        <v>51</v>
      </c>
      <c r="N41" s="603">
        <v>20</v>
      </c>
      <c r="O41" s="595">
        <v>1802</v>
      </c>
      <c r="P41" s="596">
        <v>360</v>
      </c>
      <c r="Q41" s="614">
        <f>145565+155630+55982+15271+7453.5+9440+11300.5+7141.5+2772.5+2945+30+431+4621+226+400+118+79+0+1201+1802</f>
        <v>422409</v>
      </c>
      <c r="R41" s="615">
        <f>17748+18932+7628+2641+1317+1724+2010+1184+553+655+5+131+1001+24+110+22+13+0+240+360</f>
        <v>56298</v>
      </c>
      <c r="S41" s="561">
        <v>40928</v>
      </c>
    </row>
    <row r="42" spans="1:19" ht="9.75" customHeight="1">
      <c r="A42" s="229" t="s">
        <v>223</v>
      </c>
      <c r="B42" s="597"/>
      <c r="C42" s="562"/>
      <c r="D42" s="597"/>
      <c r="E42" s="598" t="s">
        <v>55</v>
      </c>
      <c r="F42" s="631"/>
      <c r="G42" s="628" t="s">
        <v>266</v>
      </c>
      <c r="H42" s="602" t="s">
        <v>422</v>
      </c>
      <c r="I42" s="551" t="s">
        <v>186</v>
      </c>
      <c r="J42" s="602" t="s">
        <v>267</v>
      </c>
      <c r="K42" s="629">
        <v>39073</v>
      </c>
      <c r="L42" s="555" t="s">
        <v>53</v>
      </c>
      <c r="M42" s="630">
        <v>51</v>
      </c>
      <c r="N42" s="603">
        <v>20</v>
      </c>
      <c r="O42" s="595">
        <v>1201</v>
      </c>
      <c r="P42" s="596">
        <v>240</v>
      </c>
      <c r="Q42" s="606">
        <f>145565+155630+55982+15271+7453.5+9440+11300.5+7141.5+2772.5+2945+30+431+4621+226+400+118+79+0+1201</f>
        <v>420607</v>
      </c>
      <c r="R42" s="607">
        <f>17748+18932+7628+2641+1317+1724+2010+1184+553+655+5+131+1001+24+110+22+13+0+240</f>
        <v>55938</v>
      </c>
      <c r="S42" s="570">
        <v>40907</v>
      </c>
    </row>
    <row r="43" spans="1:19" ht="9.75" customHeight="1">
      <c r="A43" s="229" t="s">
        <v>223</v>
      </c>
      <c r="B43" s="608"/>
      <c r="C43" s="571"/>
      <c r="D43" s="231" t="s">
        <v>292</v>
      </c>
      <c r="E43" s="598" t="s">
        <v>55</v>
      </c>
      <c r="F43" s="627"/>
      <c r="G43" s="628" t="s">
        <v>465</v>
      </c>
      <c r="H43" s="602" t="s">
        <v>437</v>
      </c>
      <c r="I43" s="551" t="s">
        <v>186</v>
      </c>
      <c r="J43" s="602" t="s">
        <v>466</v>
      </c>
      <c r="K43" s="629">
        <v>39192</v>
      </c>
      <c r="L43" s="555" t="s">
        <v>53</v>
      </c>
      <c r="M43" s="632">
        <v>23</v>
      </c>
      <c r="N43" s="633">
        <v>1</v>
      </c>
      <c r="O43" s="595">
        <v>3003</v>
      </c>
      <c r="P43" s="596">
        <v>600</v>
      </c>
      <c r="Q43" s="614">
        <f>407730+156171.5+87089+48964+29084+13173.5+8330+7579.5+805.5+1100+1464+3021+264+123+23+430+70+2408+0.5+234+42+54+3003</f>
        <v>771163.5</v>
      </c>
      <c r="R43" s="615">
        <f>48903+19527+11239+7709+5693+3389+1770+1751+250+248+325+755+88+19+3+86+14+602+39+7+9+600</f>
        <v>103026</v>
      </c>
      <c r="S43" s="561">
        <v>40928</v>
      </c>
    </row>
    <row r="44" spans="1:19" ht="9.75" customHeight="1">
      <c r="A44" s="562"/>
      <c r="B44" s="562"/>
      <c r="C44" s="562"/>
      <c r="D44" s="562"/>
      <c r="E44" s="563"/>
      <c r="F44" s="599" t="s">
        <v>54</v>
      </c>
      <c r="G44" s="564" t="s">
        <v>143</v>
      </c>
      <c r="H44" s="551" t="s">
        <v>127</v>
      </c>
      <c r="I44" s="552"/>
      <c r="J44" s="553" t="s">
        <v>143</v>
      </c>
      <c r="K44" s="565">
        <v>40893</v>
      </c>
      <c r="L44" s="555" t="s">
        <v>68</v>
      </c>
      <c r="M44" s="551">
        <v>23</v>
      </c>
      <c r="N44" s="556">
        <v>3</v>
      </c>
      <c r="O44" s="566">
        <v>20298.5</v>
      </c>
      <c r="P44" s="567">
        <v>2691</v>
      </c>
      <c r="Q44" s="568">
        <f>53228.5+28585+20298.5</f>
        <v>102112</v>
      </c>
      <c r="R44" s="569">
        <f>6440+3537+2691</f>
        <v>12668</v>
      </c>
      <c r="S44" s="570">
        <v>40907</v>
      </c>
    </row>
    <row r="45" spans="1:19" ht="9.75" customHeight="1">
      <c r="A45" s="571"/>
      <c r="B45" s="571"/>
      <c r="C45" s="571"/>
      <c r="D45" s="571"/>
      <c r="E45" s="572"/>
      <c r="F45" s="599" t="s">
        <v>54</v>
      </c>
      <c r="G45" s="564" t="s">
        <v>143</v>
      </c>
      <c r="H45" s="551" t="s">
        <v>127</v>
      </c>
      <c r="I45" s="552"/>
      <c r="J45" s="553" t="s">
        <v>143</v>
      </c>
      <c r="K45" s="565">
        <v>40893</v>
      </c>
      <c r="L45" s="555" t="s">
        <v>68</v>
      </c>
      <c r="M45" s="577">
        <v>23</v>
      </c>
      <c r="N45" s="578">
        <v>4</v>
      </c>
      <c r="O45" s="579">
        <v>8299</v>
      </c>
      <c r="P45" s="580">
        <v>1237</v>
      </c>
      <c r="Q45" s="581">
        <f>53228.5+28585+20298.5+8299</f>
        <v>110411</v>
      </c>
      <c r="R45" s="582">
        <f>6440+3537+2691+1237</f>
        <v>13905</v>
      </c>
      <c r="S45" s="561">
        <v>40914</v>
      </c>
    </row>
    <row r="46" spans="1:19" ht="9.75" customHeight="1">
      <c r="A46" s="571"/>
      <c r="B46" s="571"/>
      <c r="C46" s="571"/>
      <c r="D46" s="571"/>
      <c r="E46" s="572"/>
      <c r="F46" s="599" t="s">
        <v>54</v>
      </c>
      <c r="G46" s="564" t="s">
        <v>143</v>
      </c>
      <c r="H46" s="551" t="s">
        <v>127</v>
      </c>
      <c r="I46" s="552"/>
      <c r="J46" s="553" t="s">
        <v>143</v>
      </c>
      <c r="K46" s="565">
        <v>40893</v>
      </c>
      <c r="L46" s="555" t="s">
        <v>68</v>
      </c>
      <c r="M46" s="551">
        <v>23</v>
      </c>
      <c r="N46" s="556">
        <v>6</v>
      </c>
      <c r="O46" s="566">
        <v>6463</v>
      </c>
      <c r="P46" s="567">
        <v>1419</v>
      </c>
      <c r="Q46" s="568">
        <f>53228.5+28585+20298.5+8299+5922+6463</f>
        <v>122796</v>
      </c>
      <c r="R46" s="569">
        <f>6440+3537+2691+1237+891+1419</f>
        <v>16215</v>
      </c>
      <c r="S46" s="561">
        <v>40928</v>
      </c>
    </row>
    <row r="47" spans="1:19" ht="9.75" customHeight="1">
      <c r="A47" s="571"/>
      <c r="B47" s="571"/>
      <c r="C47" s="571"/>
      <c r="D47" s="571"/>
      <c r="E47" s="572"/>
      <c r="F47" s="599" t="s">
        <v>54</v>
      </c>
      <c r="G47" s="564" t="s">
        <v>143</v>
      </c>
      <c r="H47" s="551" t="s">
        <v>127</v>
      </c>
      <c r="I47" s="552"/>
      <c r="J47" s="553" t="s">
        <v>143</v>
      </c>
      <c r="K47" s="565">
        <v>40893</v>
      </c>
      <c r="L47" s="555" t="s">
        <v>68</v>
      </c>
      <c r="M47" s="551">
        <v>23</v>
      </c>
      <c r="N47" s="556">
        <v>5</v>
      </c>
      <c r="O47" s="566">
        <v>5922</v>
      </c>
      <c r="P47" s="567">
        <v>891</v>
      </c>
      <c r="Q47" s="568">
        <f>53228.5+28585+20298.5+8299+5922</f>
        <v>116333</v>
      </c>
      <c r="R47" s="569">
        <f>6440+3537+2691+1237+891</f>
        <v>14796</v>
      </c>
      <c r="S47" s="561">
        <v>40921</v>
      </c>
    </row>
    <row r="48" spans="1:19" ht="9.75" customHeight="1">
      <c r="A48" s="527"/>
      <c r="B48" s="527"/>
      <c r="C48" s="527"/>
      <c r="D48" s="527"/>
      <c r="E48" s="533"/>
      <c r="F48" s="529" t="s">
        <v>54</v>
      </c>
      <c r="G48" s="550" t="s">
        <v>143</v>
      </c>
      <c r="H48" s="551" t="s">
        <v>127</v>
      </c>
      <c r="I48" s="552"/>
      <c r="J48" s="553" t="s">
        <v>143</v>
      </c>
      <c r="K48" s="565">
        <v>40893</v>
      </c>
      <c r="L48" s="555" t="s">
        <v>68</v>
      </c>
      <c r="M48" s="551">
        <v>23</v>
      </c>
      <c r="N48" s="556">
        <v>1</v>
      </c>
      <c r="O48" s="566">
        <v>3801.5</v>
      </c>
      <c r="P48" s="567">
        <v>760</v>
      </c>
      <c r="Q48" s="568">
        <f>53228.5+28585+20298.5+8299+5922+6463+2186.5+3291+2777+3801.5</f>
        <v>134852</v>
      </c>
      <c r="R48" s="569">
        <f>6440+3537+2691+1237+891+1419+633+570+423+760</f>
        <v>18601</v>
      </c>
      <c r="S48" s="561">
        <v>40956</v>
      </c>
    </row>
    <row r="49" spans="1:19" ht="9.75" customHeight="1">
      <c r="A49" s="573"/>
      <c r="B49" s="573"/>
      <c r="C49" s="573"/>
      <c r="D49" s="573"/>
      <c r="E49" s="574"/>
      <c r="F49" s="634" t="s">
        <v>54</v>
      </c>
      <c r="G49" s="564" t="s">
        <v>143</v>
      </c>
      <c r="H49" s="551" t="s">
        <v>127</v>
      </c>
      <c r="I49" s="552"/>
      <c r="J49" s="553" t="s">
        <v>143</v>
      </c>
      <c r="K49" s="565">
        <v>40893</v>
      </c>
      <c r="L49" s="555" t="s">
        <v>68</v>
      </c>
      <c r="M49" s="551">
        <v>23</v>
      </c>
      <c r="N49" s="576">
        <v>8</v>
      </c>
      <c r="O49" s="566">
        <v>3291</v>
      </c>
      <c r="P49" s="567">
        <v>570</v>
      </c>
      <c r="Q49" s="568">
        <f>53228.5+28585+20298.5+8299+5922+6463+2186.5+3291</f>
        <v>128273.5</v>
      </c>
      <c r="R49" s="569">
        <f>6440+3537+2691+1237+891+1419+633+570</f>
        <v>17418</v>
      </c>
      <c r="S49" s="561">
        <v>40942</v>
      </c>
    </row>
    <row r="50" spans="1:19" ht="9.75" customHeight="1">
      <c r="A50" s="527"/>
      <c r="B50" s="527"/>
      <c r="C50" s="527"/>
      <c r="D50" s="527"/>
      <c r="E50" s="533"/>
      <c r="F50" s="529" t="s">
        <v>54</v>
      </c>
      <c r="G50" s="550" t="s">
        <v>143</v>
      </c>
      <c r="H50" s="551" t="s">
        <v>127</v>
      </c>
      <c r="I50" s="552"/>
      <c r="J50" s="553" t="s">
        <v>143</v>
      </c>
      <c r="K50" s="554">
        <v>40893</v>
      </c>
      <c r="L50" s="555" t="s">
        <v>68</v>
      </c>
      <c r="M50" s="551">
        <v>23</v>
      </c>
      <c r="N50" s="556">
        <v>9</v>
      </c>
      <c r="O50" s="557">
        <v>2777</v>
      </c>
      <c r="P50" s="558">
        <v>423</v>
      </c>
      <c r="Q50" s="559">
        <f>53228.5+28585+20298.5+8299+5922+6463+2186.5+3291+2777</f>
        <v>131050.5</v>
      </c>
      <c r="R50" s="560">
        <f>6440+3537+2691+1237+891+1419+633+570+423</f>
        <v>17841</v>
      </c>
      <c r="S50" s="561">
        <v>40949</v>
      </c>
    </row>
    <row r="51" spans="1:19" ht="9.75" customHeight="1">
      <c r="A51" s="571"/>
      <c r="B51" s="571"/>
      <c r="C51" s="571"/>
      <c r="D51" s="571"/>
      <c r="E51" s="572"/>
      <c r="F51" s="599" t="s">
        <v>54</v>
      </c>
      <c r="G51" s="564" t="s">
        <v>143</v>
      </c>
      <c r="H51" s="551" t="s">
        <v>127</v>
      </c>
      <c r="I51" s="552"/>
      <c r="J51" s="553" t="s">
        <v>143</v>
      </c>
      <c r="K51" s="565">
        <v>40893</v>
      </c>
      <c r="L51" s="555" t="s">
        <v>68</v>
      </c>
      <c r="M51" s="551">
        <v>23</v>
      </c>
      <c r="N51" s="556">
        <v>7</v>
      </c>
      <c r="O51" s="566">
        <v>2186.5</v>
      </c>
      <c r="P51" s="567">
        <v>633</v>
      </c>
      <c r="Q51" s="568">
        <f>53228.5+28585+20298.5+8299+5922+6463+2186.5</f>
        <v>124982.5</v>
      </c>
      <c r="R51" s="569">
        <f>6440+3537+2691+1237+891+1419+633</f>
        <v>16848</v>
      </c>
      <c r="S51" s="561">
        <v>40935</v>
      </c>
    </row>
    <row r="52" spans="1:19" ht="9.75" customHeight="1">
      <c r="A52" s="571"/>
      <c r="B52" s="571"/>
      <c r="C52" s="562"/>
      <c r="D52" s="571"/>
      <c r="E52" s="563"/>
      <c r="F52" s="563"/>
      <c r="G52" s="635" t="s">
        <v>241</v>
      </c>
      <c r="H52" s="555" t="s">
        <v>129</v>
      </c>
      <c r="I52" s="555" t="s">
        <v>79</v>
      </c>
      <c r="J52" s="555" t="s">
        <v>242</v>
      </c>
      <c r="K52" s="565">
        <v>40781</v>
      </c>
      <c r="L52" s="555" t="s">
        <v>13</v>
      </c>
      <c r="M52" s="636">
        <v>10</v>
      </c>
      <c r="N52" s="556">
        <v>9</v>
      </c>
      <c r="O52" s="595">
        <v>1188</v>
      </c>
      <c r="P52" s="596">
        <v>237</v>
      </c>
      <c r="Q52" s="614">
        <v>32436</v>
      </c>
      <c r="R52" s="615">
        <v>4095</v>
      </c>
      <c r="S52" s="570">
        <v>40907</v>
      </c>
    </row>
    <row r="53" spans="1:19" ht="9.75" customHeight="1">
      <c r="A53" s="608"/>
      <c r="B53" s="608"/>
      <c r="C53" s="562"/>
      <c r="D53" s="608"/>
      <c r="E53" s="583"/>
      <c r="F53" s="599" t="s">
        <v>54</v>
      </c>
      <c r="G53" s="637" t="s">
        <v>120</v>
      </c>
      <c r="H53" s="551" t="s">
        <v>122</v>
      </c>
      <c r="I53" s="555"/>
      <c r="J53" s="555" t="s">
        <v>120</v>
      </c>
      <c r="K53" s="565">
        <v>40886</v>
      </c>
      <c r="L53" s="555" t="s">
        <v>121</v>
      </c>
      <c r="M53" s="551">
        <v>82</v>
      </c>
      <c r="N53" s="638">
        <v>4</v>
      </c>
      <c r="O53" s="639">
        <v>27702.5</v>
      </c>
      <c r="P53" s="640">
        <v>3949</v>
      </c>
      <c r="Q53" s="641">
        <v>629561</v>
      </c>
      <c r="R53" s="642">
        <v>71923</v>
      </c>
      <c r="S53" s="570">
        <v>40907</v>
      </c>
    </row>
    <row r="54" spans="1:19" ht="9.75" customHeight="1">
      <c r="A54" s="608"/>
      <c r="B54" s="608"/>
      <c r="C54" s="571"/>
      <c r="D54" s="608"/>
      <c r="E54" s="572"/>
      <c r="F54" s="599" t="s">
        <v>54</v>
      </c>
      <c r="G54" s="637" t="s">
        <v>120</v>
      </c>
      <c r="H54" s="551" t="s">
        <v>122</v>
      </c>
      <c r="I54" s="555"/>
      <c r="J54" s="555" t="s">
        <v>120</v>
      </c>
      <c r="K54" s="565">
        <v>40886</v>
      </c>
      <c r="L54" s="555" t="s">
        <v>121</v>
      </c>
      <c r="M54" s="577">
        <v>82</v>
      </c>
      <c r="N54" s="643">
        <v>5</v>
      </c>
      <c r="O54" s="644">
        <v>8167.5</v>
      </c>
      <c r="P54" s="645">
        <v>1300</v>
      </c>
      <c r="Q54" s="646">
        <v>637877</v>
      </c>
      <c r="R54" s="647">
        <v>73245</v>
      </c>
      <c r="S54" s="561">
        <v>40914</v>
      </c>
    </row>
    <row r="55" spans="1:19" ht="9.75" customHeight="1">
      <c r="A55" s="608"/>
      <c r="B55" s="608"/>
      <c r="C55" s="571"/>
      <c r="D55" s="608"/>
      <c r="E55" s="572"/>
      <c r="F55" s="599" t="s">
        <v>54</v>
      </c>
      <c r="G55" s="637" t="s">
        <v>120</v>
      </c>
      <c r="H55" s="551" t="s">
        <v>122</v>
      </c>
      <c r="I55" s="555"/>
      <c r="J55" s="555" t="s">
        <v>120</v>
      </c>
      <c r="K55" s="565">
        <v>40886</v>
      </c>
      <c r="L55" s="555" t="s">
        <v>121</v>
      </c>
      <c r="M55" s="551">
        <v>82</v>
      </c>
      <c r="N55" s="638">
        <v>6</v>
      </c>
      <c r="O55" s="639">
        <v>4728</v>
      </c>
      <c r="P55" s="640">
        <v>758</v>
      </c>
      <c r="Q55" s="641">
        <v>642785</v>
      </c>
      <c r="R55" s="642">
        <v>74003</v>
      </c>
      <c r="S55" s="561">
        <v>40921</v>
      </c>
    </row>
    <row r="56" spans="1:19" ht="9.75" customHeight="1">
      <c r="A56" s="608"/>
      <c r="B56" s="608"/>
      <c r="C56" s="571"/>
      <c r="D56" s="608"/>
      <c r="E56" s="572"/>
      <c r="F56" s="599" t="s">
        <v>54</v>
      </c>
      <c r="G56" s="637" t="s">
        <v>120</v>
      </c>
      <c r="H56" s="551" t="s">
        <v>122</v>
      </c>
      <c r="I56" s="555"/>
      <c r="J56" s="555" t="s">
        <v>120</v>
      </c>
      <c r="K56" s="565">
        <v>40886</v>
      </c>
      <c r="L56" s="555" t="s">
        <v>121</v>
      </c>
      <c r="M56" s="551">
        <v>82</v>
      </c>
      <c r="N56" s="638">
        <v>7</v>
      </c>
      <c r="O56" s="639">
        <v>2957.9</v>
      </c>
      <c r="P56" s="640">
        <v>493</v>
      </c>
      <c r="Q56" s="641">
        <v>645699.9</v>
      </c>
      <c r="R56" s="642">
        <v>74489</v>
      </c>
      <c r="S56" s="561">
        <v>40928</v>
      </c>
    </row>
    <row r="57" spans="1:19" ht="9.75" customHeight="1">
      <c r="A57" s="648"/>
      <c r="B57" s="648"/>
      <c r="C57" s="573"/>
      <c r="D57" s="648"/>
      <c r="E57" s="574"/>
      <c r="F57" s="634" t="s">
        <v>54</v>
      </c>
      <c r="G57" s="637" t="s">
        <v>120</v>
      </c>
      <c r="H57" s="551" t="s">
        <v>122</v>
      </c>
      <c r="I57" s="555"/>
      <c r="J57" s="555" t="s">
        <v>120</v>
      </c>
      <c r="K57" s="565">
        <v>40886</v>
      </c>
      <c r="L57" s="555" t="s">
        <v>121</v>
      </c>
      <c r="M57" s="551">
        <v>82</v>
      </c>
      <c r="N57" s="638">
        <v>9</v>
      </c>
      <c r="O57" s="639">
        <v>942</v>
      </c>
      <c r="P57" s="640">
        <v>146</v>
      </c>
      <c r="Q57" s="649">
        <v>647111.9</v>
      </c>
      <c r="R57" s="650">
        <v>74704</v>
      </c>
      <c r="S57" s="561">
        <v>40942</v>
      </c>
    </row>
    <row r="58" spans="1:19" ht="9.75" customHeight="1">
      <c r="A58" s="608"/>
      <c r="B58" s="608"/>
      <c r="C58" s="571"/>
      <c r="D58" s="608"/>
      <c r="E58" s="572"/>
      <c r="F58" s="599" t="s">
        <v>54</v>
      </c>
      <c r="G58" s="637" t="s">
        <v>120</v>
      </c>
      <c r="H58" s="551" t="s">
        <v>122</v>
      </c>
      <c r="I58" s="555"/>
      <c r="J58" s="555" t="s">
        <v>120</v>
      </c>
      <c r="K58" s="565">
        <v>40886</v>
      </c>
      <c r="L58" s="555" t="s">
        <v>121</v>
      </c>
      <c r="M58" s="551">
        <v>82</v>
      </c>
      <c r="N58" s="638">
        <v>8</v>
      </c>
      <c r="O58" s="639">
        <v>470</v>
      </c>
      <c r="P58" s="640">
        <v>69</v>
      </c>
      <c r="Q58" s="641">
        <v>646169.9</v>
      </c>
      <c r="R58" s="642">
        <v>74558</v>
      </c>
      <c r="S58" s="561">
        <v>40935</v>
      </c>
    </row>
    <row r="59" spans="1:19" ht="9.75" customHeight="1">
      <c r="A59" s="527"/>
      <c r="B59" s="527"/>
      <c r="C59" s="527"/>
      <c r="D59" s="527"/>
      <c r="E59" s="533"/>
      <c r="F59" s="529" t="s">
        <v>54</v>
      </c>
      <c r="G59" s="617" t="s">
        <v>733</v>
      </c>
      <c r="H59" s="555" t="s">
        <v>735</v>
      </c>
      <c r="I59" s="555"/>
      <c r="J59" s="555" t="s">
        <v>733</v>
      </c>
      <c r="K59" s="565">
        <v>40165</v>
      </c>
      <c r="L59" s="555" t="s">
        <v>52</v>
      </c>
      <c r="M59" s="601">
        <v>38</v>
      </c>
      <c r="N59" s="556">
        <v>1</v>
      </c>
      <c r="O59" s="604">
        <v>1188</v>
      </c>
      <c r="P59" s="605">
        <v>238</v>
      </c>
      <c r="Q59" s="606">
        <f>1139387+1188</f>
        <v>1140575</v>
      </c>
      <c r="R59" s="607">
        <f>139628+238</f>
        <v>139866</v>
      </c>
      <c r="S59" s="561">
        <v>40956</v>
      </c>
    </row>
    <row r="60" spans="1:19" ht="9.75" customHeight="1">
      <c r="A60" s="597"/>
      <c r="B60" s="597"/>
      <c r="C60" s="562"/>
      <c r="D60" s="597"/>
      <c r="E60" s="563"/>
      <c r="F60" s="599" t="s">
        <v>54</v>
      </c>
      <c r="G60" s="628" t="s">
        <v>66</v>
      </c>
      <c r="H60" s="602" t="s">
        <v>81</v>
      </c>
      <c r="I60" s="602"/>
      <c r="J60" s="602" t="s">
        <v>66</v>
      </c>
      <c r="K60" s="565">
        <v>40844</v>
      </c>
      <c r="L60" s="555" t="s">
        <v>53</v>
      </c>
      <c r="M60" s="602">
        <v>245</v>
      </c>
      <c r="N60" s="603">
        <v>10</v>
      </c>
      <c r="O60" s="604">
        <v>1680</v>
      </c>
      <c r="P60" s="605">
        <v>262</v>
      </c>
      <c r="Q60" s="606">
        <f>2095427.5+1865707+650031+295029.5+57559.5+69427+8354+22014.5+2923+1680</f>
        <v>5068153</v>
      </c>
      <c r="R60" s="607">
        <f>212522+189875+68849+32548+6112+10910+1695+4739+564+262</f>
        <v>528076</v>
      </c>
      <c r="S60" s="570">
        <v>40907</v>
      </c>
    </row>
    <row r="61" spans="1:19" ht="9.75" customHeight="1">
      <c r="A61" s="608"/>
      <c r="B61" s="608"/>
      <c r="C61" s="571"/>
      <c r="D61" s="608"/>
      <c r="E61" s="572"/>
      <c r="F61" s="599" t="s">
        <v>54</v>
      </c>
      <c r="G61" s="628" t="s">
        <v>66</v>
      </c>
      <c r="H61" s="602" t="s">
        <v>81</v>
      </c>
      <c r="I61" s="602"/>
      <c r="J61" s="602" t="s">
        <v>66</v>
      </c>
      <c r="K61" s="565">
        <v>40844</v>
      </c>
      <c r="L61" s="555" t="s">
        <v>53</v>
      </c>
      <c r="M61" s="609">
        <v>245</v>
      </c>
      <c r="N61" s="610">
        <v>11</v>
      </c>
      <c r="O61" s="611">
        <v>573</v>
      </c>
      <c r="P61" s="592">
        <v>94</v>
      </c>
      <c r="Q61" s="612">
        <f>2095427.5+1865707+650031+295029.5+57559.5+69427+8354+22014.5+2923+1680+573</f>
        <v>5068726</v>
      </c>
      <c r="R61" s="594">
        <f>212522+189875+68849+32548+6112+10910+1695+4739+564+262+94</f>
        <v>528170</v>
      </c>
      <c r="S61" s="561">
        <v>40914</v>
      </c>
    </row>
    <row r="62" spans="1:19" ht="9.75" customHeight="1">
      <c r="A62" s="608"/>
      <c r="B62" s="608"/>
      <c r="C62" s="571"/>
      <c r="D62" s="608"/>
      <c r="E62" s="572"/>
      <c r="F62" s="599" t="s">
        <v>54</v>
      </c>
      <c r="G62" s="628" t="s">
        <v>335</v>
      </c>
      <c r="H62" s="602" t="s">
        <v>338</v>
      </c>
      <c r="I62" s="551" t="s">
        <v>138</v>
      </c>
      <c r="J62" s="602" t="s">
        <v>335</v>
      </c>
      <c r="K62" s="565">
        <v>40830</v>
      </c>
      <c r="L62" s="555" t="s">
        <v>53</v>
      </c>
      <c r="M62" s="651">
        <v>142</v>
      </c>
      <c r="N62" s="610">
        <v>12</v>
      </c>
      <c r="O62" s="611">
        <v>2402</v>
      </c>
      <c r="P62" s="592">
        <v>480</v>
      </c>
      <c r="Q62" s="612">
        <f>248732+139942.5+41015.5+4968+2270+1973+10279+6007+1097+295+261+2402</f>
        <v>459242</v>
      </c>
      <c r="R62" s="594">
        <f>33636+19210+5940+800+378+422+1552+983+159+45+36+480</f>
        <v>63641</v>
      </c>
      <c r="S62" s="561">
        <v>40914</v>
      </c>
    </row>
    <row r="63" spans="1:19" ht="9.75" customHeight="1">
      <c r="A63" s="562"/>
      <c r="B63" s="562"/>
      <c r="C63" s="562"/>
      <c r="D63" s="562"/>
      <c r="E63" s="563"/>
      <c r="F63" s="599" t="s">
        <v>54</v>
      </c>
      <c r="G63" s="635" t="s">
        <v>71</v>
      </c>
      <c r="H63" s="551" t="s">
        <v>82</v>
      </c>
      <c r="I63" s="551"/>
      <c r="J63" s="551" t="s">
        <v>71</v>
      </c>
      <c r="K63" s="629">
        <v>40858</v>
      </c>
      <c r="L63" s="555" t="s">
        <v>53</v>
      </c>
      <c r="M63" s="551">
        <v>130</v>
      </c>
      <c r="N63" s="603">
        <v>8</v>
      </c>
      <c r="O63" s="604">
        <v>8754</v>
      </c>
      <c r="P63" s="605">
        <v>1547</v>
      </c>
      <c r="Q63" s="606">
        <f>665902+436506+215139.5+18371+13790+6539+18719+8754</f>
        <v>1383720.5</v>
      </c>
      <c r="R63" s="607">
        <f>66262+44749+24699+2311+1764+1135+3015+1547</f>
        <v>145482</v>
      </c>
      <c r="S63" s="570">
        <v>40907</v>
      </c>
    </row>
    <row r="64" spans="1:19" ht="9.75" customHeight="1">
      <c r="A64" s="571"/>
      <c r="B64" s="571"/>
      <c r="C64" s="571"/>
      <c r="D64" s="571"/>
      <c r="E64" s="572"/>
      <c r="F64" s="599" t="s">
        <v>54</v>
      </c>
      <c r="G64" s="635" t="s">
        <v>71</v>
      </c>
      <c r="H64" s="551" t="s">
        <v>82</v>
      </c>
      <c r="I64" s="551"/>
      <c r="J64" s="551" t="s">
        <v>71</v>
      </c>
      <c r="K64" s="629">
        <v>40858</v>
      </c>
      <c r="L64" s="555" t="s">
        <v>53</v>
      </c>
      <c r="M64" s="551">
        <v>130</v>
      </c>
      <c r="N64" s="613">
        <v>11</v>
      </c>
      <c r="O64" s="595">
        <v>5914</v>
      </c>
      <c r="P64" s="596">
        <v>595</v>
      </c>
      <c r="Q64" s="614">
        <f>665902+436506+215139.5+18371+13790+6539+18719+8754+1085+753+5914</f>
        <v>1391472.5</v>
      </c>
      <c r="R64" s="615">
        <f>66262+44749+24699+2311+1764+1135+3015+1547+179+111+595</f>
        <v>146367</v>
      </c>
      <c r="S64" s="561">
        <v>40928</v>
      </c>
    </row>
    <row r="65" spans="1:19" ht="9.75" customHeight="1">
      <c r="A65" s="571"/>
      <c r="B65" s="571"/>
      <c r="C65" s="571"/>
      <c r="D65" s="571"/>
      <c r="E65" s="572"/>
      <c r="F65" s="599" t="s">
        <v>54</v>
      </c>
      <c r="G65" s="635" t="s">
        <v>71</v>
      </c>
      <c r="H65" s="551" t="s">
        <v>82</v>
      </c>
      <c r="I65" s="551"/>
      <c r="J65" s="551" t="s">
        <v>71</v>
      </c>
      <c r="K65" s="629">
        <v>40858</v>
      </c>
      <c r="L65" s="555" t="s">
        <v>53</v>
      </c>
      <c r="M65" s="577">
        <v>130</v>
      </c>
      <c r="N65" s="610">
        <v>2</v>
      </c>
      <c r="O65" s="611">
        <v>1085</v>
      </c>
      <c r="P65" s="592">
        <v>179</v>
      </c>
      <c r="Q65" s="612">
        <f>665902+436506+215139.5+18371+13790+6539+18719+8754+1085</f>
        <v>1384805.5</v>
      </c>
      <c r="R65" s="594">
        <f>66262+44749+24699+2311+1764+1135+3015+1547+179</f>
        <v>145661</v>
      </c>
      <c r="S65" s="561">
        <v>40914</v>
      </c>
    </row>
    <row r="66" spans="1:19" ht="9.75" customHeight="1">
      <c r="A66" s="571"/>
      <c r="B66" s="571"/>
      <c r="C66" s="571"/>
      <c r="D66" s="571"/>
      <c r="E66" s="572"/>
      <c r="F66" s="599" t="s">
        <v>54</v>
      </c>
      <c r="G66" s="635" t="s">
        <v>71</v>
      </c>
      <c r="H66" s="551" t="s">
        <v>82</v>
      </c>
      <c r="I66" s="551"/>
      <c r="J66" s="551" t="s">
        <v>71</v>
      </c>
      <c r="K66" s="629">
        <v>40858</v>
      </c>
      <c r="L66" s="555" t="s">
        <v>53</v>
      </c>
      <c r="M66" s="551">
        <v>130</v>
      </c>
      <c r="N66" s="603">
        <v>12</v>
      </c>
      <c r="O66" s="595">
        <v>772</v>
      </c>
      <c r="P66" s="596">
        <v>67</v>
      </c>
      <c r="Q66" s="614">
        <f>665902+436506+215139.5+18371+13790+6539+18719+8754+1085+753+5914+772</f>
        <v>1392244.5</v>
      </c>
      <c r="R66" s="615">
        <f>66262+44749+24699+2311+1764+1135+3015+1547+179+111+595+67</f>
        <v>146434</v>
      </c>
      <c r="S66" s="561">
        <v>40935</v>
      </c>
    </row>
    <row r="67" spans="1:19" ht="9.75" customHeight="1">
      <c r="A67" s="571"/>
      <c r="B67" s="571"/>
      <c r="C67" s="571"/>
      <c r="D67" s="571"/>
      <c r="E67" s="572"/>
      <c r="F67" s="599" t="s">
        <v>54</v>
      </c>
      <c r="G67" s="635" t="s">
        <v>71</v>
      </c>
      <c r="H67" s="551" t="s">
        <v>82</v>
      </c>
      <c r="I67" s="551"/>
      <c r="J67" s="551" t="s">
        <v>71</v>
      </c>
      <c r="K67" s="629">
        <v>40858</v>
      </c>
      <c r="L67" s="555" t="s">
        <v>53</v>
      </c>
      <c r="M67" s="551">
        <v>130</v>
      </c>
      <c r="N67" s="603">
        <v>1</v>
      </c>
      <c r="O67" s="595">
        <v>753</v>
      </c>
      <c r="P67" s="596">
        <v>111</v>
      </c>
      <c r="Q67" s="606">
        <f>665902+436506+215139.5+18371+13790+6539+18719+8754+1085+753</f>
        <v>1385558.5</v>
      </c>
      <c r="R67" s="607">
        <f>66262+44749+24699+2311+1764+1135+3015+1547+179+111</f>
        <v>145772</v>
      </c>
      <c r="S67" s="561">
        <v>40921</v>
      </c>
    </row>
    <row r="68" spans="1:19" ht="9.75" customHeight="1">
      <c r="A68" s="571"/>
      <c r="B68" s="571"/>
      <c r="C68" s="571"/>
      <c r="D68" s="571"/>
      <c r="E68" s="572"/>
      <c r="F68" s="599" t="s">
        <v>54</v>
      </c>
      <c r="G68" s="564" t="s">
        <v>269</v>
      </c>
      <c r="H68" s="551" t="s">
        <v>284</v>
      </c>
      <c r="I68" s="552"/>
      <c r="J68" s="553" t="s">
        <v>269</v>
      </c>
      <c r="K68" s="565">
        <v>40809</v>
      </c>
      <c r="L68" s="555" t="s">
        <v>68</v>
      </c>
      <c r="M68" s="577">
        <v>66</v>
      </c>
      <c r="N68" s="578">
        <v>16</v>
      </c>
      <c r="O68" s="579">
        <v>4669.5</v>
      </c>
      <c r="P68" s="580">
        <v>1220</v>
      </c>
      <c r="Q68" s="581">
        <f>382290+386122+344313.5+244996+104138.75+43618.5+27632+12528+6812+832+1782+2257+1782+5477.5+2138.5+4669.5</f>
        <v>1571389.25</v>
      </c>
      <c r="R68" s="582">
        <f>34863+36137+32260+23896+12188+5940+2894+1417+1234+90+446+565+446+1293+535+1220</f>
        <v>155424</v>
      </c>
      <c r="S68" s="561">
        <v>40914</v>
      </c>
    </row>
    <row r="69" spans="1:19" ht="9.75" customHeight="1">
      <c r="A69" s="527"/>
      <c r="B69" s="527"/>
      <c r="C69" s="527"/>
      <c r="D69" s="527"/>
      <c r="E69" s="533"/>
      <c r="F69" s="529" t="s">
        <v>54</v>
      </c>
      <c r="G69" s="550" t="s">
        <v>269</v>
      </c>
      <c r="H69" s="551" t="s">
        <v>284</v>
      </c>
      <c r="I69" s="552"/>
      <c r="J69" s="553" t="s">
        <v>269</v>
      </c>
      <c r="K69" s="554">
        <v>40809</v>
      </c>
      <c r="L69" s="555" t="s">
        <v>68</v>
      </c>
      <c r="M69" s="551">
        <v>66</v>
      </c>
      <c r="N69" s="556">
        <v>17</v>
      </c>
      <c r="O69" s="557">
        <v>2851.5</v>
      </c>
      <c r="P69" s="558">
        <v>571</v>
      </c>
      <c r="Q69" s="559">
        <f>382290+386122+344313.5+244996+104138.75+43618.5+27632+12528+6812+832+1782+2257+1782+5477.5+2138.5+4669.5+970+2851.5</f>
        <v>1575210.75</v>
      </c>
      <c r="R69" s="560">
        <f>34863+36137+32260+23896+12188+5940+2894+1417+1234+90+446+565+446+1293+535+1220+404+571</f>
        <v>156399</v>
      </c>
      <c r="S69" s="561">
        <v>40949</v>
      </c>
    </row>
    <row r="70" spans="1:19" ht="9.75" customHeight="1">
      <c r="A70" s="562"/>
      <c r="B70" s="562"/>
      <c r="C70" s="562"/>
      <c r="D70" s="562"/>
      <c r="E70" s="563"/>
      <c r="F70" s="599" t="s">
        <v>54</v>
      </c>
      <c r="G70" s="564" t="s">
        <v>269</v>
      </c>
      <c r="H70" s="551" t="s">
        <v>284</v>
      </c>
      <c r="I70" s="552"/>
      <c r="J70" s="553" t="s">
        <v>269</v>
      </c>
      <c r="K70" s="565">
        <v>40809</v>
      </c>
      <c r="L70" s="555" t="s">
        <v>68</v>
      </c>
      <c r="M70" s="551">
        <v>66</v>
      </c>
      <c r="N70" s="621">
        <v>15</v>
      </c>
      <c r="O70" s="566">
        <v>2138.5</v>
      </c>
      <c r="P70" s="567">
        <v>535</v>
      </c>
      <c r="Q70" s="568">
        <f>382290+386122+344313.5+244996+104138.75+43618.5+27632+12528+6812+832+1782+2257+1782+5477.5+2138.5</f>
        <v>1566719.75</v>
      </c>
      <c r="R70" s="569">
        <f>34863+36137+32260+23896+12188+5940+2894+1417+1234+90+446+565+446+1293+535</f>
        <v>154204</v>
      </c>
      <c r="S70" s="570">
        <v>40907</v>
      </c>
    </row>
    <row r="71" spans="1:19" ht="9.75" customHeight="1">
      <c r="A71" s="571"/>
      <c r="B71" s="571"/>
      <c r="C71" s="571"/>
      <c r="D71" s="571"/>
      <c r="E71" s="572"/>
      <c r="F71" s="599" t="s">
        <v>54</v>
      </c>
      <c r="G71" s="564" t="s">
        <v>269</v>
      </c>
      <c r="H71" s="551" t="s">
        <v>284</v>
      </c>
      <c r="I71" s="552"/>
      <c r="J71" s="553" t="s">
        <v>269</v>
      </c>
      <c r="K71" s="565">
        <v>40809</v>
      </c>
      <c r="L71" s="555" t="s">
        <v>68</v>
      </c>
      <c r="M71" s="551">
        <v>66</v>
      </c>
      <c r="N71" s="556">
        <v>16</v>
      </c>
      <c r="O71" s="566">
        <v>970</v>
      </c>
      <c r="P71" s="567">
        <v>404</v>
      </c>
      <c r="Q71" s="568">
        <f>382290+386122+344313.5+244996+104138.75+43618.5+27632+12528+6812+832+1782+2257+1782+5477.5+2138.5+4669.5+970</f>
        <v>1572359.25</v>
      </c>
      <c r="R71" s="569">
        <f>34863+36137+32260+23896+12188+5940+2894+1417+1234+90+446+565+446+1293+535+1220+404</f>
        <v>155828</v>
      </c>
      <c r="S71" s="561">
        <v>40921</v>
      </c>
    </row>
    <row r="72" spans="1:19" ht="9.75" customHeight="1">
      <c r="A72" s="534"/>
      <c r="B72" s="534"/>
      <c r="C72" s="534"/>
      <c r="D72" s="527"/>
      <c r="E72" s="532"/>
      <c r="F72" s="533"/>
      <c r="G72" s="550" t="s">
        <v>746</v>
      </c>
      <c r="H72" s="551" t="s">
        <v>753</v>
      </c>
      <c r="I72" s="552" t="s">
        <v>89</v>
      </c>
      <c r="J72" s="553" t="s">
        <v>747</v>
      </c>
      <c r="K72" s="565">
        <v>39969</v>
      </c>
      <c r="L72" s="555" t="s">
        <v>68</v>
      </c>
      <c r="M72" s="551">
        <v>20</v>
      </c>
      <c r="N72" s="556">
        <v>1</v>
      </c>
      <c r="O72" s="566">
        <v>1780</v>
      </c>
      <c r="P72" s="567">
        <v>356</v>
      </c>
      <c r="Q72" s="568">
        <f>63821.75+29583.75+16102.25+8771.25+5888+8492.5+1761+3162+5226+2267+1186.5+1122.5+1305+832+660+301+151+1780+1780+1308+1780</f>
        <v>157281.5</v>
      </c>
      <c r="R72" s="569">
        <f>6069+3045+2422+1546+1020+1313+402+594+954+378+185+151+256+78+122+64+34+445+445+327+356</f>
        <v>20206</v>
      </c>
      <c r="S72" s="561">
        <v>40956</v>
      </c>
    </row>
    <row r="73" spans="1:19" ht="9.75" customHeight="1">
      <c r="A73" s="608"/>
      <c r="B73" s="608"/>
      <c r="C73" s="571"/>
      <c r="D73" s="608"/>
      <c r="E73" s="572"/>
      <c r="F73" s="599" t="s">
        <v>54</v>
      </c>
      <c r="G73" s="628" t="s">
        <v>337</v>
      </c>
      <c r="H73" s="602" t="s">
        <v>339</v>
      </c>
      <c r="I73" s="551" t="s">
        <v>138</v>
      </c>
      <c r="J73" s="602" t="s">
        <v>337</v>
      </c>
      <c r="K73" s="565">
        <v>40914</v>
      </c>
      <c r="L73" s="555" t="s">
        <v>53</v>
      </c>
      <c r="M73" s="651">
        <v>97</v>
      </c>
      <c r="N73" s="610">
        <v>1</v>
      </c>
      <c r="O73" s="611">
        <v>216520</v>
      </c>
      <c r="P73" s="592">
        <v>26831</v>
      </c>
      <c r="Q73" s="612">
        <f>216520</f>
        <v>216520</v>
      </c>
      <c r="R73" s="594">
        <f>26831</f>
        <v>26831</v>
      </c>
      <c r="S73" s="561">
        <v>40914</v>
      </c>
    </row>
    <row r="74" spans="1:19" ht="9.75" customHeight="1">
      <c r="A74" s="608"/>
      <c r="B74" s="608"/>
      <c r="C74" s="571"/>
      <c r="D74" s="608"/>
      <c r="E74" s="572"/>
      <c r="F74" s="599" t="s">
        <v>54</v>
      </c>
      <c r="G74" s="628" t="s">
        <v>337</v>
      </c>
      <c r="H74" s="602" t="s">
        <v>339</v>
      </c>
      <c r="I74" s="551" t="s">
        <v>138</v>
      </c>
      <c r="J74" s="602" t="s">
        <v>337</v>
      </c>
      <c r="K74" s="565">
        <v>40914</v>
      </c>
      <c r="L74" s="555" t="s">
        <v>53</v>
      </c>
      <c r="M74" s="630">
        <v>97</v>
      </c>
      <c r="N74" s="603">
        <v>2</v>
      </c>
      <c r="O74" s="595">
        <v>198358.5</v>
      </c>
      <c r="P74" s="596">
        <v>25025</v>
      </c>
      <c r="Q74" s="606">
        <f>216520+198358.5</f>
        <v>414878.5</v>
      </c>
      <c r="R74" s="607">
        <f>26831+25025</f>
        <v>51856</v>
      </c>
      <c r="S74" s="561">
        <v>40921</v>
      </c>
    </row>
    <row r="75" spans="1:19" ht="9.75" customHeight="1">
      <c r="A75" s="535"/>
      <c r="B75" s="533"/>
      <c r="C75" s="364">
        <v>2</v>
      </c>
      <c r="D75" s="533"/>
      <c r="E75" s="535"/>
      <c r="F75" s="533"/>
      <c r="G75" s="652" t="s">
        <v>540</v>
      </c>
      <c r="H75" s="551" t="s">
        <v>541</v>
      </c>
      <c r="I75" s="585" t="s">
        <v>94</v>
      </c>
      <c r="J75" s="585" t="s">
        <v>542</v>
      </c>
      <c r="K75" s="565">
        <v>40788</v>
      </c>
      <c r="L75" s="555" t="s">
        <v>12</v>
      </c>
      <c r="M75" s="551">
        <v>89</v>
      </c>
      <c r="N75" s="556">
        <v>1</v>
      </c>
      <c r="O75" s="586">
        <v>1197</v>
      </c>
      <c r="P75" s="587">
        <v>189</v>
      </c>
      <c r="Q75" s="588">
        <v>2029519</v>
      </c>
      <c r="R75" s="589">
        <v>203843</v>
      </c>
      <c r="S75" s="561">
        <v>40956</v>
      </c>
    </row>
    <row r="76" spans="1:19" ht="9.75" customHeight="1">
      <c r="A76" s="597"/>
      <c r="B76" s="597"/>
      <c r="C76" s="562"/>
      <c r="D76" s="597"/>
      <c r="E76" s="653"/>
      <c r="F76" s="563"/>
      <c r="G76" s="635" t="s">
        <v>137</v>
      </c>
      <c r="H76" s="551" t="s">
        <v>140</v>
      </c>
      <c r="I76" s="551" t="s">
        <v>138</v>
      </c>
      <c r="J76" s="551" t="s">
        <v>139</v>
      </c>
      <c r="K76" s="565">
        <v>40893</v>
      </c>
      <c r="L76" s="555" t="s">
        <v>53</v>
      </c>
      <c r="M76" s="551">
        <v>28</v>
      </c>
      <c r="N76" s="603">
        <v>3</v>
      </c>
      <c r="O76" s="604">
        <v>19211</v>
      </c>
      <c r="P76" s="605">
        <v>2152</v>
      </c>
      <c r="Q76" s="606">
        <f>152692.5+78009+19211</f>
        <v>249912.5</v>
      </c>
      <c r="R76" s="607">
        <f>12107+6230+2152</f>
        <v>20489</v>
      </c>
      <c r="S76" s="570">
        <v>40907</v>
      </c>
    </row>
    <row r="77" spans="1:19" ht="9.75" customHeight="1">
      <c r="A77" s="608"/>
      <c r="B77" s="608"/>
      <c r="C77" s="571"/>
      <c r="D77" s="608"/>
      <c r="E77" s="654"/>
      <c r="F77" s="572"/>
      <c r="G77" s="635" t="s">
        <v>137</v>
      </c>
      <c r="H77" s="551" t="s">
        <v>140</v>
      </c>
      <c r="I77" s="551" t="s">
        <v>138</v>
      </c>
      <c r="J77" s="551" t="s">
        <v>139</v>
      </c>
      <c r="K77" s="565">
        <v>40893</v>
      </c>
      <c r="L77" s="555" t="s">
        <v>53</v>
      </c>
      <c r="M77" s="577">
        <v>28</v>
      </c>
      <c r="N77" s="610">
        <v>4</v>
      </c>
      <c r="O77" s="611">
        <v>5878</v>
      </c>
      <c r="P77" s="592">
        <v>592</v>
      </c>
      <c r="Q77" s="612">
        <f>152692.5+78009+19211+5878</f>
        <v>255790.5</v>
      </c>
      <c r="R77" s="594">
        <f>12107+6230+2152+592</f>
        <v>21081</v>
      </c>
      <c r="S77" s="561">
        <v>40914</v>
      </c>
    </row>
    <row r="78" spans="1:19" ht="9.75" customHeight="1">
      <c r="A78" s="608"/>
      <c r="B78" s="608"/>
      <c r="C78" s="571"/>
      <c r="D78" s="608"/>
      <c r="E78" s="654"/>
      <c r="F78" s="572"/>
      <c r="G78" s="635" t="s">
        <v>137</v>
      </c>
      <c r="H78" s="551" t="s">
        <v>140</v>
      </c>
      <c r="I78" s="551" t="s">
        <v>138</v>
      </c>
      <c r="J78" s="551" t="s">
        <v>139</v>
      </c>
      <c r="K78" s="565">
        <v>40893</v>
      </c>
      <c r="L78" s="555" t="s">
        <v>53</v>
      </c>
      <c r="M78" s="551">
        <v>28</v>
      </c>
      <c r="N78" s="603">
        <v>5</v>
      </c>
      <c r="O78" s="595">
        <v>4853.5</v>
      </c>
      <c r="P78" s="596">
        <v>575</v>
      </c>
      <c r="Q78" s="606">
        <f>152692.5+78009+19211+5878+4853.5</f>
        <v>260644</v>
      </c>
      <c r="R78" s="607">
        <f>12107+6230+2152+592+575</f>
        <v>21656</v>
      </c>
      <c r="S78" s="561">
        <v>40921</v>
      </c>
    </row>
    <row r="79" spans="1:19" ht="9.75" customHeight="1">
      <c r="A79" s="608"/>
      <c r="B79" s="608"/>
      <c r="C79" s="571"/>
      <c r="D79" s="608"/>
      <c r="E79" s="654"/>
      <c r="F79" s="572"/>
      <c r="G79" s="635" t="s">
        <v>137</v>
      </c>
      <c r="H79" s="551" t="s">
        <v>140</v>
      </c>
      <c r="I79" s="551" t="s">
        <v>138</v>
      </c>
      <c r="J79" s="551" t="s">
        <v>139</v>
      </c>
      <c r="K79" s="565">
        <v>40893</v>
      </c>
      <c r="L79" s="555" t="s">
        <v>53</v>
      </c>
      <c r="M79" s="551">
        <v>28</v>
      </c>
      <c r="N79" s="613">
        <v>6</v>
      </c>
      <c r="O79" s="595">
        <v>4764</v>
      </c>
      <c r="P79" s="596">
        <v>535</v>
      </c>
      <c r="Q79" s="614">
        <f>152692.5+78009+19211+5878+4853.5+4764</f>
        <v>265408</v>
      </c>
      <c r="R79" s="615">
        <f>12107+6230+2152+592+575+535</f>
        <v>22191</v>
      </c>
      <c r="S79" s="561">
        <v>40928</v>
      </c>
    </row>
    <row r="80" spans="1:19" ht="9.75" customHeight="1">
      <c r="A80" s="616"/>
      <c r="B80" s="616"/>
      <c r="C80" s="527"/>
      <c r="D80" s="616"/>
      <c r="E80" s="536"/>
      <c r="F80" s="533"/>
      <c r="G80" s="635" t="s">
        <v>137</v>
      </c>
      <c r="H80" s="551" t="s">
        <v>140</v>
      </c>
      <c r="I80" s="551" t="s">
        <v>138</v>
      </c>
      <c r="J80" s="551" t="s">
        <v>139</v>
      </c>
      <c r="K80" s="565">
        <v>40893</v>
      </c>
      <c r="L80" s="555" t="s">
        <v>53</v>
      </c>
      <c r="M80" s="577">
        <v>28</v>
      </c>
      <c r="N80" s="655">
        <v>7</v>
      </c>
      <c r="O80" s="656">
        <v>314</v>
      </c>
      <c r="P80" s="596">
        <v>39</v>
      </c>
      <c r="Q80" s="657">
        <f>152692.5+78009+19211+5878+4853.5+4764+314</f>
        <v>265722</v>
      </c>
      <c r="R80" s="615">
        <f>12107+6230+2152+592+575+535+39</f>
        <v>22230</v>
      </c>
      <c r="S80" s="561">
        <v>40942</v>
      </c>
    </row>
    <row r="81" spans="1:19" ht="9.75" customHeight="1">
      <c r="A81" s="530" t="s">
        <v>223</v>
      </c>
      <c r="B81" s="534"/>
      <c r="C81" s="527"/>
      <c r="D81" s="531" t="s">
        <v>292</v>
      </c>
      <c r="E81" s="528" t="s">
        <v>55</v>
      </c>
      <c r="F81" s="533"/>
      <c r="G81" s="658" t="s">
        <v>49</v>
      </c>
      <c r="H81" s="659" t="s">
        <v>92</v>
      </c>
      <c r="I81" s="659" t="s">
        <v>94</v>
      </c>
      <c r="J81" s="552" t="s">
        <v>59</v>
      </c>
      <c r="K81" s="554">
        <v>40774</v>
      </c>
      <c r="L81" s="555" t="s">
        <v>12</v>
      </c>
      <c r="M81" s="551">
        <v>123</v>
      </c>
      <c r="N81" s="556">
        <v>23</v>
      </c>
      <c r="O81" s="618">
        <v>2387</v>
      </c>
      <c r="P81" s="619">
        <v>399</v>
      </c>
      <c r="Q81" s="620">
        <v>7030216</v>
      </c>
      <c r="R81" s="589">
        <v>689129</v>
      </c>
      <c r="S81" s="561">
        <v>40949</v>
      </c>
    </row>
    <row r="82" spans="1:19" ht="9.75" customHeight="1">
      <c r="A82" s="229" t="s">
        <v>223</v>
      </c>
      <c r="B82" s="562"/>
      <c r="C82" s="562"/>
      <c r="D82" s="231" t="s">
        <v>292</v>
      </c>
      <c r="E82" s="598" t="s">
        <v>55</v>
      </c>
      <c r="F82" s="583"/>
      <c r="G82" s="660" t="s">
        <v>49</v>
      </c>
      <c r="H82" s="659" t="s">
        <v>92</v>
      </c>
      <c r="I82" s="659" t="s">
        <v>94</v>
      </c>
      <c r="J82" s="552" t="s">
        <v>59</v>
      </c>
      <c r="K82" s="565">
        <v>40774</v>
      </c>
      <c r="L82" s="555" t="s">
        <v>12</v>
      </c>
      <c r="M82" s="551">
        <v>123</v>
      </c>
      <c r="N82" s="556">
        <v>20</v>
      </c>
      <c r="O82" s="618">
        <v>2279</v>
      </c>
      <c r="P82" s="619">
        <v>487</v>
      </c>
      <c r="Q82" s="620">
        <v>7024385</v>
      </c>
      <c r="R82" s="589">
        <v>688120</v>
      </c>
      <c r="S82" s="570">
        <v>40907</v>
      </c>
    </row>
    <row r="83" spans="1:19" ht="9.75" customHeight="1">
      <c r="A83" s="229" t="s">
        <v>223</v>
      </c>
      <c r="B83" s="562"/>
      <c r="C83" s="571"/>
      <c r="D83" s="231" t="s">
        <v>292</v>
      </c>
      <c r="E83" s="598" t="s">
        <v>55</v>
      </c>
      <c r="F83" s="572"/>
      <c r="G83" s="660" t="s">
        <v>49</v>
      </c>
      <c r="H83" s="659" t="s">
        <v>92</v>
      </c>
      <c r="I83" s="659" t="s">
        <v>94</v>
      </c>
      <c r="J83" s="552" t="s">
        <v>59</v>
      </c>
      <c r="K83" s="565">
        <v>40774</v>
      </c>
      <c r="L83" s="555" t="s">
        <v>12</v>
      </c>
      <c r="M83" s="551">
        <v>123</v>
      </c>
      <c r="N83" s="556">
        <v>23</v>
      </c>
      <c r="O83" s="595">
        <v>1197</v>
      </c>
      <c r="P83" s="596">
        <v>189</v>
      </c>
      <c r="Q83" s="614">
        <v>7027231</v>
      </c>
      <c r="R83" s="615">
        <v>688631</v>
      </c>
      <c r="S83" s="561">
        <v>40928</v>
      </c>
    </row>
    <row r="84" spans="1:19" ht="9.75" customHeight="1">
      <c r="A84" s="229" t="s">
        <v>223</v>
      </c>
      <c r="B84" s="562"/>
      <c r="C84" s="571"/>
      <c r="D84" s="231" t="s">
        <v>292</v>
      </c>
      <c r="E84" s="598" t="s">
        <v>55</v>
      </c>
      <c r="F84" s="572"/>
      <c r="G84" s="660" t="s">
        <v>49</v>
      </c>
      <c r="H84" s="659" t="s">
        <v>92</v>
      </c>
      <c r="I84" s="659" t="s">
        <v>94</v>
      </c>
      <c r="J84" s="552" t="s">
        <v>59</v>
      </c>
      <c r="K84" s="565">
        <v>40774</v>
      </c>
      <c r="L84" s="555" t="s">
        <v>12</v>
      </c>
      <c r="M84" s="577">
        <v>123</v>
      </c>
      <c r="N84" s="590">
        <v>21</v>
      </c>
      <c r="O84" s="591">
        <v>784</v>
      </c>
      <c r="P84" s="592">
        <v>153</v>
      </c>
      <c r="Q84" s="593">
        <v>7025169</v>
      </c>
      <c r="R84" s="594">
        <v>688273</v>
      </c>
      <c r="S84" s="561">
        <v>40914</v>
      </c>
    </row>
    <row r="85" spans="1:19" ht="9.75" customHeight="1">
      <c r="A85" s="229" t="s">
        <v>223</v>
      </c>
      <c r="B85" s="562"/>
      <c r="C85" s="571"/>
      <c r="D85" s="231" t="s">
        <v>292</v>
      </c>
      <c r="E85" s="598" t="s">
        <v>55</v>
      </c>
      <c r="F85" s="572"/>
      <c r="G85" s="660" t="s">
        <v>49</v>
      </c>
      <c r="H85" s="659" t="s">
        <v>92</v>
      </c>
      <c r="I85" s="659" t="s">
        <v>94</v>
      </c>
      <c r="J85" s="552" t="s">
        <v>59</v>
      </c>
      <c r="K85" s="565">
        <v>40774</v>
      </c>
      <c r="L85" s="555" t="s">
        <v>12</v>
      </c>
      <c r="M85" s="551">
        <v>123</v>
      </c>
      <c r="N85" s="556">
        <v>22</v>
      </c>
      <c r="O85" s="595">
        <v>564</v>
      </c>
      <c r="P85" s="596">
        <v>117</v>
      </c>
      <c r="Q85" s="620">
        <v>7026034</v>
      </c>
      <c r="R85" s="589">
        <v>688442</v>
      </c>
      <c r="S85" s="561">
        <v>40921</v>
      </c>
    </row>
    <row r="86" spans="1:19" ht="9.75" customHeight="1">
      <c r="A86" s="229" t="s">
        <v>223</v>
      </c>
      <c r="B86" s="608"/>
      <c r="C86" s="571"/>
      <c r="D86" s="231" t="s">
        <v>292</v>
      </c>
      <c r="E86" s="598" t="s">
        <v>55</v>
      </c>
      <c r="F86" s="627"/>
      <c r="G86" s="628" t="s">
        <v>175</v>
      </c>
      <c r="H86" s="602" t="s">
        <v>187</v>
      </c>
      <c r="I86" s="602" t="s">
        <v>138</v>
      </c>
      <c r="J86" s="602" t="s">
        <v>178</v>
      </c>
      <c r="K86" s="565">
        <v>39682</v>
      </c>
      <c r="L86" s="555" t="s">
        <v>53</v>
      </c>
      <c r="M86" s="630">
        <v>60</v>
      </c>
      <c r="N86" s="613">
        <v>24</v>
      </c>
      <c r="O86" s="595">
        <v>1802</v>
      </c>
      <c r="P86" s="596">
        <v>360</v>
      </c>
      <c r="Q86" s="614">
        <f>111737+37434.5+11042+9412+0.5+6921+5282+0.5+1449+105+269+162+117+442+7259+305+4320+1922+1799+1799+135+1799+3598+1201+1802</f>
        <v>210312.5</v>
      </c>
      <c r="R86" s="615">
        <f>13345+4357+1377+1694+1346+1248+225+18+64+40+37+108+2420+61+783+385+300+300+15+300+600+240+360</f>
        <v>29623</v>
      </c>
      <c r="S86" s="561">
        <v>40928</v>
      </c>
    </row>
    <row r="87" spans="1:19" ht="9.75" customHeight="1">
      <c r="A87" s="229" t="s">
        <v>223</v>
      </c>
      <c r="B87" s="597"/>
      <c r="C87" s="562"/>
      <c r="D87" s="231" t="s">
        <v>292</v>
      </c>
      <c r="E87" s="598" t="s">
        <v>55</v>
      </c>
      <c r="F87" s="631"/>
      <c r="G87" s="628" t="s">
        <v>175</v>
      </c>
      <c r="H87" s="602" t="s">
        <v>187</v>
      </c>
      <c r="I87" s="602" t="s">
        <v>138</v>
      </c>
      <c r="J87" s="602" t="s">
        <v>178</v>
      </c>
      <c r="K87" s="565">
        <v>39682</v>
      </c>
      <c r="L87" s="555" t="s">
        <v>53</v>
      </c>
      <c r="M87" s="630">
        <v>60</v>
      </c>
      <c r="N87" s="603">
        <v>23</v>
      </c>
      <c r="O87" s="604">
        <v>1201</v>
      </c>
      <c r="P87" s="605">
        <v>240</v>
      </c>
      <c r="Q87" s="606">
        <f>111737+37434.5+11042+9412+0.5+6921+5282+0.5+1449+105+269+162+117+442+7259+305+4320+1922+1799+1799+135+1799+3598+1201</f>
        <v>208510.5</v>
      </c>
      <c r="R87" s="607">
        <f>13345+4357+1377+1694+1346+1248+225+18+64+40+37+108+2420+61+783+385+300+300+15+300+600+240</f>
        <v>29263</v>
      </c>
      <c r="S87" s="570">
        <v>40907</v>
      </c>
    </row>
    <row r="88" spans="1:19" ht="9.75" customHeight="1">
      <c r="A88" s="527"/>
      <c r="B88" s="527"/>
      <c r="C88" s="527"/>
      <c r="D88" s="527"/>
      <c r="E88" s="533"/>
      <c r="F88" s="529" t="s">
        <v>54</v>
      </c>
      <c r="G88" s="617" t="s">
        <v>77</v>
      </c>
      <c r="H88" s="555" t="s">
        <v>188</v>
      </c>
      <c r="I88" s="555"/>
      <c r="J88" s="555" t="s">
        <v>173</v>
      </c>
      <c r="K88" s="554">
        <v>40865</v>
      </c>
      <c r="L88" s="555" t="s">
        <v>52</v>
      </c>
      <c r="M88" s="601">
        <v>64</v>
      </c>
      <c r="N88" s="638">
        <v>10</v>
      </c>
      <c r="O88" s="618">
        <v>3564</v>
      </c>
      <c r="P88" s="619">
        <v>712</v>
      </c>
      <c r="Q88" s="620">
        <f>256046+137037.5+20115+5099+3542+3484.5+1302+1985+195+659+3564</f>
        <v>433029</v>
      </c>
      <c r="R88" s="589">
        <f>25390+13650+2140+705+587+707+246+352+31+92+712</f>
        <v>44612</v>
      </c>
      <c r="S88" s="561">
        <v>40949</v>
      </c>
    </row>
    <row r="89" spans="1:19" ht="9.75" customHeight="1">
      <c r="A89" s="571"/>
      <c r="B89" s="571"/>
      <c r="C89" s="571"/>
      <c r="D89" s="571"/>
      <c r="E89" s="572"/>
      <c r="F89" s="599" t="s">
        <v>54</v>
      </c>
      <c r="G89" s="600" t="s">
        <v>77</v>
      </c>
      <c r="H89" s="555" t="s">
        <v>188</v>
      </c>
      <c r="I89" s="555"/>
      <c r="J89" s="555" t="s">
        <v>173</v>
      </c>
      <c r="K89" s="565">
        <v>40865</v>
      </c>
      <c r="L89" s="555" t="s">
        <v>52</v>
      </c>
      <c r="M89" s="661">
        <v>64</v>
      </c>
      <c r="N89" s="643">
        <v>8</v>
      </c>
      <c r="O89" s="662">
        <v>1985</v>
      </c>
      <c r="P89" s="663">
        <v>352</v>
      </c>
      <c r="Q89" s="664">
        <f>256046+137037.5+20115+5099+3542+3484.5+1302+1985</f>
        <v>428611</v>
      </c>
      <c r="R89" s="665">
        <f>25390+13650+2140+705+587+707+246+352</f>
        <v>43777</v>
      </c>
      <c r="S89" s="561">
        <v>40914</v>
      </c>
    </row>
    <row r="90" spans="1:19" ht="9.75" customHeight="1">
      <c r="A90" s="562"/>
      <c r="B90" s="562"/>
      <c r="C90" s="562"/>
      <c r="D90" s="562"/>
      <c r="E90" s="563"/>
      <c r="F90" s="599" t="s">
        <v>54</v>
      </c>
      <c r="G90" s="600" t="s">
        <v>77</v>
      </c>
      <c r="H90" s="555" t="s">
        <v>188</v>
      </c>
      <c r="I90" s="555"/>
      <c r="J90" s="555" t="s">
        <v>173</v>
      </c>
      <c r="K90" s="565">
        <v>40865</v>
      </c>
      <c r="L90" s="555" t="s">
        <v>52</v>
      </c>
      <c r="M90" s="601">
        <v>64</v>
      </c>
      <c r="N90" s="638">
        <v>7</v>
      </c>
      <c r="O90" s="666">
        <v>1302</v>
      </c>
      <c r="P90" s="667">
        <v>246</v>
      </c>
      <c r="Q90" s="668">
        <f>256046+137037.5+20115+5099+3542+3484.5+1302</f>
        <v>426626</v>
      </c>
      <c r="R90" s="615">
        <f>25390+13650+2140+705+587+707+246</f>
        <v>43425</v>
      </c>
      <c r="S90" s="570">
        <v>40907</v>
      </c>
    </row>
    <row r="91" spans="1:19" ht="9.75" customHeight="1">
      <c r="A91" s="571"/>
      <c r="B91" s="571"/>
      <c r="C91" s="571"/>
      <c r="D91" s="571"/>
      <c r="E91" s="572"/>
      <c r="F91" s="599" t="s">
        <v>54</v>
      </c>
      <c r="G91" s="600" t="s">
        <v>77</v>
      </c>
      <c r="H91" s="555" t="s">
        <v>188</v>
      </c>
      <c r="I91" s="555"/>
      <c r="J91" s="555" t="s">
        <v>173</v>
      </c>
      <c r="K91" s="565">
        <v>40865</v>
      </c>
      <c r="L91" s="555" t="s">
        <v>52</v>
      </c>
      <c r="M91" s="601">
        <v>64</v>
      </c>
      <c r="N91" s="638">
        <v>10</v>
      </c>
      <c r="O91" s="666">
        <v>659</v>
      </c>
      <c r="P91" s="667">
        <v>92</v>
      </c>
      <c r="Q91" s="668">
        <f>256046+137037.5+20115+5099+3542+3484.5+1302+1985+195+659</f>
        <v>429465</v>
      </c>
      <c r="R91" s="615">
        <f>25390+13650+2140+705+587+707+246+352+31+92</f>
        <v>43900</v>
      </c>
      <c r="S91" s="561">
        <v>40928</v>
      </c>
    </row>
    <row r="92" spans="1:19" ht="9.75" customHeight="1">
      <c r="A92" s="571"/>
      <c r="B92" s="571"/>
      <c r="C92" s="571"/>
      <c r="D92" s="571"/>
      <c r="E92" s="572"/>
      <c r="F92" s="599" t="s">
        <v>54</v>
      </c>
      <c r="G92" s="600" t="s">
        <v>77</v>
      </c>
      <c r="H92" s="555" t="s">
        <v>188</v>
      </c>
      <c r="I92" s="555"/>
      <c r="J92" s="555" t="s">
        <v>173</v>
      </c>
      <c r="K92" s="565">
        <v>40865</v>
      </c>
      <c r="L92" s="555" t="s">
        <v>52</v>
      </c>
      <c r="M92" s="601">
        <v>64</v>
      </c>
      <c r="N92" s="638">
        <v>9</v>
      </c>
      <c r="O92" s="669">
        <v>195</v>
      </c>
      <c r="P92" s="670">
        <v>31</v>
      </c>
      <c r="Q92" s="671">
        <f>256046+137037.5+20115+5099+3542+3484.5+1302+1985+195</f>
        <v>428806</v>
      </c>
      <c r="R92" s="615">
        <f>25390+13650+2140+705+587+707+246+352+31</f>
        <v>43808</v>
      </c>
      <c r="S92" s="561">
        <v>40921</v>
      </c>
    </row>
    <row r="93" spans="1:19" ht="9.75" customHeight="1">
      <c r="A93" s="562"/>
      <c r="B93" s="230">
        <v>3</v>
      </c>
      <c r="C93" s="562"/>
      <c r="D93" s="571"/>
      <c r="E93" s="563"/>
      <c r="F93" s="583"/>
      <c r="G93" s="584" t="s">
        <v>202</v>
      </c>
      <c r="H93" s="551" t="s">
        <v>210</v>
      </c>
      <c r="I93" s="585" t="s">
        <v>211</v>
      </c>
      <c r="J93" s="585" t="s">
        <v>202</v>
      </c>
      <c r="K93" s="565">
        <v>40837</v>
      </c>
      <c r="L93" s="555" t="s">
        <v>12</v>
      </c>
      <c r="M93" s="551">
        <v>130</v>
      </c>
      <c r="N93" s="556">
        <v>10</v>
      </c>
      <c r="O93" s="618">
        <v>983</v>
      </c>
      <c r="P93" s="619">
        <v>141</v>
      </c>
      <c r="Q93" s="620">
        <v>893705</v>
      </c>
      <c r="R93" s="589">
        <v>90187</v>
      </c>
      <c r="S93" s="570">
        <v>40907</v>
      </c>
    </row>
    <row r="94" spans="1:19" ht="9.75" customHeight="1">
      <c r="A94" s="229" t="s">
        <v>223</v>
      </c>
      <c r="B94" s="230">
        <v>3</v>
      </c>
      <c r="C94" s="210">
        <v>2</v>
      </c>
      <c r="D94" s="571"/>
      <c r="E94" s="571"/>
      <c r="F94" s="572"/>
      <c r="G94" s="584" t="s">
        <v>386</v>
      </c>
      <c r="H94" s="551" t="s">
        <v>91</v>
      </c>
      <c r="I94" s="585" t="s">
        <v>94</v>
      </c>
      <c r="J94" s="585" t="s">
        <v>389</v>
      </c>
      <c r="K94" s="565">
        <v>40802</v>
      </c>
      <c r="L94" s="555" t="s">
        <v>12</v>
      </c>
      <c r="M94" s="551">
        <v>139</v>
      </c>
      <c r="N94" s="556">
        <v>18</v>
      </c>
      <c r="O94" s="595">
        <v>1197</v>
      </c>
      <c r="P94" s="596">
        <v>189</v>
      </c>
      <c r="Q94" s="620">
        <v>867262</v>
      </c>
      <c r="R94" s="589">
        <v>93571</v>
      </c>
      <c r="S94" s="561">
        <v>40921</v>
      </c>
    </row>
    <row r="95" spans="1:19" ht="9.75" customHeight="1">
      <c r="A95" s="571"/>
      <c r="B95" s="571"/>
      <c r="C95" s="562"/>
      <c r="D95" s="571"/>
      <c r="E95" s="563"/>
      <c r="F95" s="563"/>
      <c r="G95" s="635" t="s">
        <v>251</v>
      </c>
      <c r="H95" s="555" t="s">
        <v>252</v>
      </c>
      <c r="I95" s="555" t="s">
        <v>248</v>
      </c>
      <c r="J95" s="555" t="s">
        <v>246</v>
      </c>
      <c r="K95" s="565">
        <v>40564</v>
      </c>
      <c r="L95" s="555" t="s">
        <v>13</v>
      </c>
      <c r="M95" s="636">
        <v>3</v>
      </c>
      <c r="N95" s="556">
        <v>6</v>
      </c>
      <c r="O95" s="595">
        <v>594</v>
      </c>
      <c r="P95" s="596">
        <v>118</v>
      </c>
      <c r="Q95" s="614">
        <v>13140.5</v>
      </c>
      <c r="R95" s="615">
        <v>1009</v>
      </c>
      <c r="S95" s="570">
        <v>40907</v>
      </c>
    </row>
    <row r="96" spans="1:19" ht="9.75" customHeight="1">
      <c r="A96" s="562"/>
      <c r="B96" s="562"/>
      <c r="C96" s="562"/>
      <c r="D96" s="562"/>
      <c r="E96" s="672"/>
      <c r="F96" s="599" t="s">
        <v>54</v>
      </c>
      <c r="G96" s="637" t="s">
        <v>104</v>
      </c>
      <c r="H96" s="551" t="s">
        <v>105</v>
      </c>
      <c r="I96" s="555"/>
      <c r="J96" s="555" t="s">
        <v>104</v>
      </c>
      <c r="K96" s="629">
        <v>40872</v>
      </c>
      <c r="L96" s="555" t="s">
        <v>10</v>
      </c>
      <c r="M96" s="551">
        <v>277</v>
      </c>
      <c r="N96" s="638">
        <v>6</v>
      </c>
      <c r="O96" s="566">
        <v>441941</v>
      </c>
      <c r="P96" s="567">
        <v>49345</v>
      </c>
      <c r="Q96" s="568">
        <v>10697295</v>
      </c>
      <c r="R96" s="569">
        <v>1139680</v>
      </c>
      <c r="S96" s="570">
        <v>40907</v>
      </c>
    </row>
    <row r="97" spans="1:19" ht="9.75" customHeight="1">
      <c r="A97" s="571"/>
      <c r="B97" s="571"/>
      <c r="C97" s="571"/>
      <c r="D97" s="571"/>
      <c r="E97" s="654"/>
      <c r="F97" s="599" t="s">
        <v>54</v>
      </c>
      <c r="G97" s="584" t="s">
        <v>104</v>
      </c>
      <c r="H97" s="551" t="s">
        <v>105</v>
      </c>
      <c r="I97" s="555"/>
      <c r="J97" s="555" t="s">
        <v>104</v>
      </c>
      <c r="K97" s="629">
        <v>40872</v>
      </c>
      <c r="L97" s="555" t="s">
        <v>10</v>
      </c>
      <c r="M97" s="577">
        <v>277</v>
      </c>
      <c r="N97" s="643">
        <v>7</v>
      </c>
      <c r="O97" s="579">
        <f>129529+680</f>
        <v>130209</v>
      </c>
      <c r="P97" s="580">
        <f>15613+55</f>
        <v>15668</v>
      </c>
      <c r="Q97" s="581">
        <f>10697295+129529+680</f>
        <v>10827504</v>
      </c>
      <c r="R97" s="582">
        <f>1139680+15613+55</f>
        <v>1155348</v>
      </c>
      <c r="S97" s="561">
        <v>40914</v>
      </c>
    </row>
    <row r="98" spans="1:19" ht="9.75" customHeight="1">
      <c r="A98" s="571"/>
      <c r="B98" s="571"/>
      <c r="C98" s="571"/>
      <c r="D98" s="571"/>
      <c r="E98" s="654"/>
      <c r="F98" s="599" t="s">
        <v>54</v>
      </c>
      <c r="G98" s="584" t="s">
        <v>104</v>
      </c>
      <c r="H98" s="551" t="s">
        <v>105</v>
      </c>
      <c r="I98" s="555"/>
      <c r="J98" s="555" t="s">
        <v>104</v>
      </c>
      <c r="K98" s="629">
        <v>40872</v>
      </c>
      <c r="L98" s="555" t="s">
        <v>10</v>
      </c>
      <c r="M98" s="551">
        <v>277</v>
      </c>
      <c r="N98" s="638">
        <v>8</v>
      </c>
      <c r="O98" s="566">
        <v>64482</v>
      </c>
      <c r="P98" s="567">
        <v>7909</v>
      </c>
      <c r="Q98" s="568">
        <v>10891986</v>
      </c>
      <c r="R98" s="569">
        <v>1163257</v>
      </c>
      <c r="S98" s="561">
        <v>40921</v>
      </c>
    </row>
    <row r="99" spans="1:19" ht="9.75" customHeight="1">
      <c r="A99" s="571"/>
      <c r="B99" s="571"/>
      <c r="C99" s="571"/>
      <c r="D99" s="571"/>
      <c r="E99" s="654"/>
      <c r="F99" s="599" t="s">
        <v>54</v>
      </c>
      <c r="G99" s="584" t="s">
        <v>104</v>
      </c>
      <c r="H99" s="551" t="s">
        <v>105</v>
      </c>
      <c r="I99" s="555"/>
      <c r="J99" s="555" t="s">
        <v>104</v>
      </c>
      <c r="K99" s="629">
        <v>40872</v>
      </c>
      <c r="L99" s="555" t="s">
        <v>10</v>
      </c>
      <c r="M99" s="551">
        <v>277</v>
      </c>
      <c r="N99" s="638">
        <v>9</v>
      </c>
      <c r="O99" s="566">
        <v>39245</v>
      </c>
      <c r="P99" s="567">
        <v>5888</v>
      </c>
      <c r="Q99" s="568">
        <v>10931231</v>
      </c>
      <c r="R99" s="569">
        <v>1169145</v>
      </c>
      <c r="S99" s="561">
        <v>40928</v>
      </c>
    </row>
    <row r="100" spans="1:19" ht="9.75" customHeight="1">
      <c r="A100" s="527"/>
      <c r="B100" s="527"/>
      <c r="C100" s="527"/>
      <c r="D100" s="527"/>
      <c r="E100" s="536"/>
      <c r="F100" s="529" t="s">
        <v>54</v>
      </c>
      <c r="G100" s="652" t="s">
        <v>104</v>
      </c>
      <c r="H100" s="551" t="s">
        <v>105</v>
      </c>
      <c r="I100" s="555"/>
      <c r="J100" s="555" t="s">
        <v>104</v>
      </c>
      <c r="K100" s="629">
        <v>40872</v>
      </c>
      <c r="L100" s="555" t="s">
        <v>10</v>
      </c>
      <c r="M100" s="551">
        <v>277</v>
      </c>
      <c r="N100" s="638">
        <v>3</v>
      </c>
      <c r="O100" s="566">
        <v>7140</v>
      </c>
      <c r="P100" s="567">
        <v>1666</v>
      </c>
      <c r="Q100" s="568">
        <v>10945899</v>
      </c>
      <c r="R100" s="569">
        <v>1172189</v>
      </c>
      <c r="S100" s="561">
        <v>40956</v>
      </c>
    </row>
    <row r="101" spans="1:19" ht="9.75" customHeight="1">
      <c r="A101" s="527"/>
      <c r="B101" s="527"/>
      <c r="C101" s="527"/>
      <c r="D101" s="527"/>
      <c r="E101" s="536"/>
      <c r="F101" s="529" t="s">
        <v>54</v>
      </c>
      <c r="G101" s="652" t="s">
        <v>104</v>
      </c>
      <c r="H101" s="551" t="s">
        <v>105</v>
      </c>
      <c r="I101" s="555"/>
      <c r="J101" s="555" t="s">
        <v>104</v>
      </c>
      <c r="K101" s="673">
        <v>40872</v>
      </c>
      <c r="L101" s="555" t="s">
        <v>10</v>
      </c>
      <c r="M101" s="551">
        <v>277</v>
      </c>
      <c r="N101" s="638">
        <v>12</v>
      </c>
      <c r="O101" s="557">
        <v>3968</v>
      </c>
      <c r="P101" s="558">
        <v>738</v>
      </c>
      <c r="Q101" s="559">
        <v>10938759</v>
      </c>
      <c r="R101" s="560">
        <v>1170523</v>
      </c>
      <c r="S101" s="561">
        <v>40949</v>
      </c>
    </row>
    <row r="102" spans="1:19" ht="9.75" customHeight="1">
      <c r="A102" s="571"/>
      <c r="B102" s="571"/>
      <c r="C102" s="571"/>
      <c r="D102" s="571"/>
      <c r="E102" s="654"/>
      <c r="F102" s="599" t="s">
        <v>54</v>
      </c>
      <c r="G102" s="584" t="s">
        <v>104</v>
      </c>
      <c r="H102" s="551" t="s">
        <v>105</v>
      </c>
      <c r="I102" s="555"/>
      <c r="J102" s="555" t="s">
        <v>104</v>
      </c>
      <c r="K102" s="629">
        <v>40872</v>
      </c>
      <c r="L102" s="555" t="s">
        <v>10</v>
      </c>
      <c r="M102" s="551">
        <v>277</v>
      </c>
      <c r="N102" s="638">
        <v>10</v>
      </c>
      <c r="O102" s="566">
        <v>2354</v>
      </c>
      <c r="P102" s="567">
        <v>410</v>
      </c>
      <c r="Q102" s="568">
        <v>10933585</v>
      </c>
      <c r="R102" s="569">
        <v>1169555</v>
      </c>
      <c r="S102" s="561">
        <v>40935</v>
      </c>
    </row>
    <row r="103" spans="1:19" ht="9.75" customHeight="1">
      <c r="A103" s="573"/>
      <c r="B103" s="573"/>
      <c r="C103" s="573"/>
      <c r="D103" s="573"/>
      <c r="E103" s="674"/>
      <c r="F103" s="634" t="s">
        <v>54</v>
      </c>
      <c r="G103" s="584" t="s">
        <v>104</v>
      </c>
      <c r="H103" s="551" t="s">
        <v>105</v>
      </c>
      <c r="I103" s="555"/>
      <c r="J103" s="555" t="s">
        <v>104</v>
      </c>
      <c r="K103" s="629">
        <v>40872</v>
      </c>
      <c r="L103" s="555" t="s">
        <v>10</v>
      </c>
      <c r="M103" s="551">
        <v>277</v>
      </c>
      <c r="N103" s="638">
        <v>11</v>
      </c>
      <c r="O103" s="566">
        <v>1206</v>
      </c>
      <c r="P103" s="567">
        <v>230</v>
      </c>
      <c r="Q103" s="568">
        <v>10934791</v>
      </c>
      <c r="R103" s="569">
        <v>1169785</v>
      </c>
      <c r="S103" s="561">
        <v>40942</v>
      </c>
    </row>
    <row r="104" spans="1:19" ht="9.75" customHeight="1">
      <c r="A104" s="229" t="s">
        <v>223</v>
      </c>
      <c r="B104" s="571"/>
      <c r="C104" s="571"/>
      <c r="D104" s="571"/>
      <c r="E104" s="572"/>
      <c r="F104" s="572"/>
      <c r="G104" s="628" t="s">
        <v>344</v>
      </c>
      <c r="H104" s="551" t="s">
        <v>126</v>
      </c>
      <c r="I104" s="602" t="s">
        <v>89</v>
      </c>
      <c r="J104" s="602" t="s">
        <v>351</v>
      </c>
      <c r="K104" s="629">
        <v>40914</v>
      </c>
      <c r="L104" s="555" t="s">
        <v>68</v>
      </c>
      <c r="M104" s="675">
        <v>56</v>
      </c>
      <c r="N104" s="578">
        <v>1</v>
      </c>
      <c r="O104" s="579">
        <v>212792</v>
      </c>
      <c r="P104" s="580">
        <v>19942</v>
      </c>
      <c r="Q104" s="581">
        <f>212792</f>
        <v>212792</v>
      </c>
      <c r="R104" s="582">
        <f>19942</f>
        <v>19942</v>
      </c>
      <c r="S104" s="561">
        <v>40914</v>
      </c>
    </row>
    <row r="105" spans="1:19" ht="9.75" customHeight="1">
      <c r="A105" s="229" t="s">
        <v>223</v>
      </c>
      <c r="B105" s="571"/>
      <c r="C105" s="571"/>
      <c r="D105" s="571"/>
      <c r="E105" s="572"/>
      <c r="F105" s="572"/>
      <c r="G105" s="628" t="s">
        <v>344</v>
      </c>
      <c r="H105" s="551" t="s">
        <v>126</v>
      </c>
      <c r="I105" s="602" t="s">
        <v>89</v>
      </c>
      <c r="J105" s="602" t="s">
        <v>351</v>
      </c>
      <c r="K105" s="629">
        <v>40914</v>
      </c>
      <c r="L105" s="555" t="s">
        <v>68</v>
      </c>
      <c r="M105" s="551">
        <v>56</v>
      </c>
      <c r="N105" s="556">
        <v>2</v>
      </c>
      <c r="O105" s="566">
        <v>162247.5</v>
      </c>
      <c r="P105" s="567">
        <v>16768</v>
      </c>
      <c r="Q105" s="568">
        <f>212792+162247.5</f>
        <v>375039.5</v>
      </c>
      <c r="R105" s="569">
        <f>19942+16768</f>
        <v>36710</v>
      </c>
      <c r="S105" s="561">
        <v>40921</v>
      </c>
    </row>
    <row r="106" spans="1:19" ht="9.75" customHeight="1">
      <c r="A106" s="229" t="s">
        <v>223</v>
      </c>
      <c r="B106" s="608"/>
      <c r="C106" s="571"/>
      <c r="D106" s="608"/>
      <c r="E106" s="572"/>
      <c r="F106" s="572"/>
      <c r="G106" s="628" t="s">
        <v>336</v>
      </c>
      <c r="H106" s="602" t="s">
        <v>350</v>
      </c>
      <c r="I106" s="551" t="s">
        <v>138</v>
      </c>
      <c r="J106" s="602" t="s">
        <v>340</v>
      </c>
      <c r="K106" s="565">
        <v>39472</v>
      </c>
      <c r="L106" s="555" t="s">
        <v>53</v>
      </c>
      <c r="M106" s="630">
        <v>59</v>
      </c>
      <c r="N106" s="613">
        <v>42</v>
      </c>
      <c r="O106" s="595">
        <v>1802</v>
      </c>
      <c r="P106" s="596">
        <v>360</v>
      </c>
      <c r="Q106" s="614">
        <f>395290.5+262822+75939+23709.5+4083+1327+9321+1445+1267+2173+4575+201+1748+3343+728+28+948+1329+163+182+173+15521.5+171+40+110+75+183.5+127+124.5+1976+312+180+12+2398+1799+1799+1799+3598+1201+1802</f>
        <v>824023.5</v>
      </c>
      <c r="R106" s="615">
        <f>47426+32442+9866+4010+887+225+2185+263+226+460+1077+33+367+887+230+4+139+355+32+35+32+3859+49+8+22+15+68+46+45+659+52+30+2+399+300+300+300+600+240+360</f>
        <v>108535</v>
      </c>
      <c r="S106" s="561">
        <v>40928</v>
      </c>
    </row>
    <row r="107" spans="1:19" ht="9.75" customHeight="1">
      <c r="A107" s="229" t="s">
        <v>223</v>
      </c>
      <c r="B107" s="608"/>
      <c r="C107" s="571"/>
      <c r="D107" s="608"/>
      <c r="E107" s="572"/>
      <c r="F107" s="572"/>
      <c r="G107" s="628" t="s">
        <v>336</v>
      </c>
      <c r="H107" s="602" t="s">
        <v>350</v>
      </c>
      <c r="I107" s="551" t="s">
        <v>138</v>
      </c>
      <c r="J107" s="602" t="s">
        <v>340</v>
      </c>
      <c r="K107" s="565">
        <v>39472</v>
      </c>
      <c r="L107" s="555" t="s">
        <v>53</v>
      </c>
      <c r="M107" s="651">
        <v>59</v>
      </c>
      <c r="N107" s="610">
        <v>41</v>
      </c>
      <c r="O107" s="611">
        <v>1201</v>
      </c>
      <c r="P107" s="592">
        <v>240</v>
      </c>
      <c r="Q107" s="612">
        <f>395290.5+262822+75939+23709.5+4083+1327+9321+1445+1267+2173+4575+201+1748+3343+728+28+948+1329+163+182+173+15521.5+171+40+110+75+183.5+127+124.5+1976+312+180+12+2398+1799+1799+1799+3598+1201</f>
        <v>822221.5</v>
      </c>
      <c r="R107" s="594">
        <f>47426+32442+9866+4010+887+225+2185+263+226+460+1077+33+367+887+230+4+139+355+32+35+32+3859+49+8+22+15+68+46+45+659+52+30+2+399+300+300+300+600+240</f>
        <v>108175</v>
      </c>
      <c r="S107" s="561">
        <v>40914</v>
      </c>
    </row>
    <row r="108" spans="1:19" ht="9.75" customHeight="1">
      <c r="A108" s="571"/>
      <c r="B108" s="571"/>
      <c r="C108" s="571"/>
      <c r="D108" s="571"/>
      <c r="E108" s="572"/>
      <c r="F108" s="563"/>
      <c r="G108" s="564" t="s">
        <v>401</v>
      </c>
      <c r="H108" s="553" t="s">
        <v>404</v>
      </c>
      <c r="I108" s="553" t="s">
        <v>248</v>
      </c>
      <c r="J108" s="553" t="s">
        <v>402</v>
      </c>
      <c r="K108" s="565">
        <v>40746</v>
      </c>
      <c r="L108" s="555" t="s">
        <v>68</v>
      </c>
      <c r="M108" s="551">
        <v>5</v>
      </c>
      <c r="N108" s="556">
        <v>15</v>
      </c>
      <c r="O108" s="566">
        <v>264</v>
      </c>
      <c r="P108" s="567">
        <v>44</v>
      </c>
      <c r="Q108" s="568">
        <f>15287.5+10909.5+3453.5+1267.5+1495+5972+1476+196+990+2893+1323+722+1782+684+264</f>
        <v>48715</v>
      </c>
      <c r="R108" s="569">
        <f>1370+1093+336+155+192+663+166+28+134+385+183+184+446+80+44</f>
        <v>5459</v>
      </c>
      <c r="S108" s="561">
        <v>40921</v>
      </c>
    </row>
    <row r="109" spans="1:19" ht="9.75" customHeight="1">
      <c r="A109" s="597"/>
      <c r="B109" s="597"/>
      <c r="C109" s="562"/>
      <c r="D109" s="597"/>
      <c r="E109" s="676"/>
      <c r="F109" s="599" t="s">
        <v>54</v>
      </c>
      <c r="G109" s="564" t="s">
        <v>107</v>
      </c>
      <c r="H109" s="553" t="s">
        <v>123</v>
      </c>
      <c r="I109" s="552"/>
      <c r="J109" s="553" t="s">
        <v>107</v>
      </c>
      <c r="K109" s="565">
        <v>40879</v>
      </c>
      <c r="L109" s="555" t="s">
        <v>68</v>
      </c>
      <c r="M109" s="551">
        <v>202</v>
      </c>
      <c r="N109" s="556">
        <v>5</v>
      </c>
      <c r="O109" s="566">
        <v>299977</v>
      </c>
      <c r="P109" s="567">
        <v>39696</v>
      </c>
      <c r="Q109" s="568">
        <f>1080241.5+1088121+871543+502064+299977</f>
        <v>3841946.5</v>
      </c>
      <c r="R109" s="569">
        <f>121812+123965+100674+61096+39696</f>
        <v>447243</v>
      </c>
      <c r="S109" s="570">
        <v>40907</v>
      </c>
    </row>
    <row r="110" spans="1:19" ht="9.75" customHeight="1">
      <c r="A110" s="608"/>
      <c r="B110" s="608"/>
      <c r="C110" s="571"/>
      <c r="D110" s="608"/>
      <c r="E110" s="627"/>
      <c r="F110" s="599" t="s">
        <v>54</v>
      </c>
      <c r="G110" s="564" t="s">
        <v>107</v>
      </c>
      <c r="H110" s="553" t="s">
        <v>123</v>
      </c>
      <c r="I110" s="552"/>
      <c r="J110" s="553" t="s">
        <v>107</v>
      </c>
      <c r="K110" s="565">
        <v>40879</v>
      </c>
      <c r="L110" s="555" t="s">
        <v>68</v>
      </c>
      <c r="M110" s="577">
        <v>202</v>
      </c>
      <c r="N110" s="578">
        <v>6</v>
      </c>
      <c r="O110" s="579">
        <v>131358.5</v>
      </c>
      <c r="P110" s="580">
        <v>19116</v>
      </c>
      <c r="Q110" s="581">
        <f>1080241.5+1088121+871543+502064+300294.5+131358.5</f>
        <v>3973622.5</v>
      </c>
      <c r="R110" s="582">
        <f>121812+123965+100674+61096+39726+19116</f>
        <v>466389</v>
      </c>
      <c r="S110" s="561">
        <v>40914</v>
      </c>
    </row>
    <row r="111" spans="1:19" ht="9.75" customHeight="1">
      <c r="A111" s="608"/>
      <c r="B111" s="608"/>
      <c r="C111" s="571"/>
      <c r="D111" s="608"/>
      <c r="E111" s="627"/>
      <c r="F111" s="599" t="s">
        <v>54</v>
      </c>
      <c r="G111" s="564" t="s">
        <v>107</v>
      </c>
      <c r="H111" s="553" t="s">
        <v>123</v>
      </c>
      <c r="I111" s="552"/>
      <c r="J111" s="553" t="s">
        <v>107</v>
      </c>
      <c r="K111" s="565">
        <v>40879</v>
      </c>
      <c r="L111" s="555" t="s">
        <v>68</v>
      </c>
      <c r="M111" s="551">
        <v>202</v>
      </c>
      <c r="N111" s="556">
        <v>7</v>
      </c>
      <c r="O111" s="566">
        <v>96969.5</v>
      </c>
      <c r="P111" s="567">
        <v>14898</v>
      </c>
      <c r="Q111" s="568">
        <f>1080241.5+1088121+871543+502064+300294.5+131358.5+96969.5</f>
        <v>4070592</v>
      </c>
      <c r="R111" s="569">
        <f>121812+123965+100674+61096+39726+19116+14898</f>
        <v>481287</v>
      </c>
      <c r="S111" s="561">
        <v>40921</v>
      </c>
    </row>
    <row r="112" spans="1:19" ht="9.75" customHeight="1">
      <c r="A112" s="608"/>
      <c r="B112" s="608"/>
      <c r="C112" s="571"/>
      <c r="D112" s="608"/>
      <c r="E112" s="627"/>
      <c r="F112" s="599" t="s">
        <v>54</v>
      </c>
      <c r="G112" s="564" t="s">
        <v>107</v>
      </c>
      <c r="H112" s="553" t="s">
        <v>123</v>
      </c>
      <c r="I112" s="552"/>
      <c r="J112" s="553" t="s">
        <v>107</v>
      </c>
      <c r="K112" s="565">
        <v>40879</v>
      </c>
      <c r="L112" s="555" t="s">
        <v>68</v>
      </c>
      <c r="M112" s="551">
        <v>202</v>
      </c>
      <c r="N112" s="556">
        <v>8</v>
      </c>
      <c r="O112" s="566">
        <v>68985</v>
      </c>
      <c r="P112" s="567">
        <v>10338</v>
      </c>
      <c r="Q112" s="568">
        <f>1080241.5+1088121+871543+502064+300294.5+131358.5+96969.5+68985</f>
        <v>4139577</v>
      </c>
      <c r="R112" s="569">
        <f>121812+123965+100674+61096+39726+19116+14898+10338</f>
        <v>491625</v>
      </c>
      <c r="S112" s="561">
        <v>40928</v>
      </c>
    </row>
    <row r="113" spans="1:19" ht="9.75" customHeight="1">
      <c r="A113" s="608"/>
      <c r="B113" s="608"/>
      <c r="C113" s="571"/>
      <c r="D113" s="608"/>
      <c r="E113" s="627"/>
      <c r="F113" s="599" t="s">
        <v>54</v>
      </c>
      <c r="G113" s="564" t="s">
        <v>107</v>
      </c>
      <c r="H113" s="553" t="s">
        <v>123</v>
      </c>
      <c r="I113" s="552"/>
      <c r="J113" s="553" t="s">
        <v>107</v>
      </c>
      <c r="K113" s="565">
        <v>40879</v>
      </c>
      <c r="L113" s="555" t="s">
        <v>68</v>
      </c>
      <c r="M113" s="551">
        <v>202</v>
      </c>
      <c r="N113" s="556">
        <v>9</v>
      </c>
      <c r="O113" s="566">
        <v>9253.5</v>
      </c>
      <c r="P113" s="567">
        <v>1416</v>
      </c>
      <c r="Q113" s="568">
        <f>1080241.5+1088121+871543+502064+300294.5+131358.5+96969.5+68985+9253.5</f>
        <v>4148830.5</v>
      </c>
      <c r="R113" s="569">
        <f>121812+123965+100674+61096+39726+19116+14898+10338+1416</f>
        <v>493041</v>
      </c>
      <c r="S113" s="561">
        <v>40935</v>
      </c>
    </row>
    <row r="114" spans="1:19" ht="9.75" customHeight="1">
      <c r="A114" s="648"/>
      <c r="B114" s="648"/>
      <c r="C114" s="573"/>
      <c r="D114" s="648"/>
      <c r="E114" s="677"/>
      <c r="F114" s="634" t="s">
        <v>54</v>
      </c>
      <c r="G114" s="564" t="s">
        <v>107</v>
      </c>
      <c r="H114" s="553" t="s">
        <v>123</v>
      </c>
      <c r="I114" s="552"/>
      <c r="J114" s="553" t="s">
        <v>107</v>
      </c>
      <c r="K114" s="565">
        <v>40879</v>
      </c>
      <c r="L114" s="555" t="s">
        <v>68</v>
      </c>
      <c r="M114" s="551">
        <v>202</v>
      </c>
      <c r="N114" s="576">
        <v>10</v>
      </c>
      <c r="O114" s="566">
        <v>5204.5</v>
      </c>
      <c r="P114" s="567">
        <v>922</v>
      </c>
      <c r="Q114" s="568">
        <f>1080241.5+1088121+871543+502064+300294.5+131358.5+96969.5+68985+9253.5+5204.5</f>
        <v>4154035</v>
      </c>
      <c r="R114" s="569">
        <f>121812+123965+100674+61096+39726+19116+14898+10338+1416+922</f>
        <v>493963</v>
      </c>
      <c r="S114" s="561">
        <v>40942</v>
      </c>
    </row>
    <row r="115" spans="1:19" ht="9.75" customHeight="1">
      <c r="A115" s="616"/>
      <c r="B115" s="616"/>
      <c r="C115" s="527"/>
      <c r="D115" s="616"/>
      <c r="E115" s="537"/>
      <c r="F115" s="529" t="s">
        <v>54</v>
      </c>
      <c r="G115" s="550" t="s">
        <v>107</v>
      </c>
      <c r="H115" s="553" t="s">
        <v>123</v>
      </c>
      <c r="I115" s="552"/>
      <c r="J115" s="553" t="s">
        <v>107</v>
      </c>
      <c r="K115" s="554">
        <v>40879</v>
      </c>
      <c r="L115" s="555" t="s">
        <v>68</v>
      </c>
      <c r="M115" s="551">
        <v>202</v>
      </c>
      <c r="N115" s="556">
        <v>11</v>
      </c>
      <c r="O115" s="557">
        <v>1760.5</v>
      </c>
      <c r="P115" s="558">
        <v>322</v>
      </c>
      <c r="Q115" s="559">
        <f>1080241.5+1088121+871543+502064+300294.5+131358.5+96969.5+68985+9253.5+5204.5+1760.5</f>
        <v>4155795.5</v>
      </c>
      <c r="R115" s="560">
        <f>121812+123965+100674+61096+39726+19116+14898+10338+1416+922+322</f>
        <v>494285</v>
      </c>
      <c r="S115" s="561">
        <v>40949</v>
      </c>
    </row>
    <row r="116" spans="1:19" ht="9.75" customHeight="1">
      <c r="A116" s="571"/>
      <c r="B116" s="571"/>
      <c r="C116" s="571"/>
      <c r="D116" s="571"/>
      <c r="E116" s="572"/>
      <c r="F116" s="572"/>
      <c r="G116" s="564" t="s">
        <v>271</v>
      </c>
      <c r="H116" s="551" t="s">
        <v>290</v>
      </c>
      <c r="I116" s="552" t="s">
        <v>79</v>
      </c>
      <c r="J116" s="553" t="s">
        <v>287</v>
      </c>
      <c r="K116" s="565">
        <v>40823</v>
      </c>
      <c r="L116" s="555" t="s">
        <v>68</v>
      </c>
      <c r="M116" s="551">
        <v>10</v>
      </c>
      <c r="N116" s="556">
        <v>12</v>
      </c>
      <c r="O116" s="566">
        <v>3784</v>
      </c>
      <c r="P116" s="567">
        <v>612</v>
      </c>
      <c r="Q116" s="568">
        <f>31458.5+18316.5+9973.5+2181+7429+3551+2891+512+313+372+806+3784</f>
        <v>81587.5</v>
      </c>
      <c r="R116" s="569">
        <f>2922+2132+1224+343+1097+635+770+85+39+50+137+612</f>
        <v>10046</v>
      </c>
      <c r="S116" s="561">
        <v>40921</v>
      </c>
    </row>
    <row r="117" spans="1:19" ht="9.75" customHeight="1">
      <c r="A117" s="571"/>
      <c r="B117" s="571"/>
      <c r="C117" s="571"/>
      <c r="D117" s="571"/>
      <c r="E117" s="572"/>
      <c r="F117" s="572"/>
      <c r="G117" s="564" t="s">
        <v>271</v>
      </c>
      <c r="H117" s="551" t="s">
        <v>290</v>
      </c>
      <c r="I117" s="552" t="s">
        <v>79</v>
      </c>
      <c r="J117" s="553" t="s">
        <v>287</v>
      </c>
      <c r="K117" s="565">
        <v>40823</v>
      </c>
      <c r="L117" s="555" t="s">
        <v>68</v>
      </c>
      <c r="M117" s="551">
        <v>10</v>
      </c>
      <c r="N117" s="556">
        <v>13</v>
      </c>
      <c r="O117" s="566">
        <v>1099</v>
      </c>
      <c r="P117" s="567">
        <v>158</v>
      </c>
      <c r="Q117" s="568">
        <f>31458.5+18316.5+9973.5+2181+7429+3551+2891+512+313+372+806+3784+1705</f>
        <v>83292.5</v>
      </c>
      <c r="R117" s="569">
        <f>2922+2132+1224+343+1097+635+770+85+39+50+137+612+248</f>
        <v>10294</v>
      </c>
      <c r="S117" s="561">
        <v>40928</v>
      </c>
    </row>
    <row r="118" spans="1:19" ht="9.75" customHeight="1">
      <c r="A118" s="527"/>
      <c r="B118" s="527"/>
      <c r="C118" s="527"/>
      <c r="D118" s="527"/>
      <c r="E118" s="533"/>
      <c r="F118" s="533"/>
      <c r="G118" s="550" t="s">
        <v>271</v>
      </c>
      <c r="H118" s="551" t="s">
        <v>290</v>
      </c>
      <c r="I118" s="552" t="s">
        <v>79</v>
      </c>
      <c r="J118" s="553" t="s">
        <v>287</v>
      </c>
      <c r="K118" s="554">
        <v>40823</v>
      </c>
      <c r="L118" s="555" t="s">
        <v>68</v>
      </c>
      <c r="M118" s="551">
        <v>10</v>
      </c>
      <c r="N118" s="556">
        <v>13</v>
      </c>
      <c r="O118" s="557">
        <v>1087.5</v>
      </c>
      <c r="P118" s="558">
        <v>153</v>
      </c>
      <c r="Q118" s="559">
        <f>31458.5+18316.5+9973.5+2181+7429+3551+2891+512+313+372+806+3784+1705+1087.5</f>
        <v>84380</v>
      </c>
      <c r="R118" s="560">
        <f>2922+2132+1224+343+1097+635+770+85+39+50+137+612+248+153</f>
        <v>10447</v>
      </c>
      <c r="S118" s="561">
        <v>40949</v>
      </c>
    </row>
    <row r="119" spans="1:19" ht="9.75" customHeight="1">
      <c r="A119" s="571"/>
      <c r="B119" s="571"/>
      <c r="C119" s="571"/>
      <c r="D119" s="571"/>
      <c r="E119" s="572"/>
      <c r="F119" s="572"/>
      <c r="G119" s="564" t="s">
        <v>271</v>
      </c>
      <c r="H119" s="551" t="s">
        <v>290</v>
      </c>
      <c r="I119" s="552" t="s">
        <v>79</v>
      </c>
      <c r="J119" s="553" t="s">
        <v>287</v>
      </c>
      <c r="K119" s="565">
        <v>40823</v>
      </c>
      <c r="L119" s="555" t="s">
        <v>68</v>
      </c>
      <c r="M119" s="577">
        <v>10</v>
      </c>
      <c r="N119" s="590">
        <v>10</v>
      </c>
      <c r="O119" s="579">
        <v>806</v>
      </c>
      <c r="P119" s="580">
        <v>137</v>
      </c>
      <c r="Q119" s="581">
        <f>31458.5+18316.5+9973.5+2181+7429+3551+2891+512+313+372+806</f>
        <v>77803.5</v>
      </c>
      <c r="R119" s="582">
        <f>2922+2132+1224+343+1097+635+770+85+39+50+137</f>
        <v>9434</v>
      </c>
      <c r="S119" s="561">
        <v>40914</v>
      </c>
    </row>
    <row r="120" spans="1:19" ht="9.75" customHeight="1">
      <c r="A120" s="562"/>
      <c r="B120" s="562"/>
      <c r="C120" s="562"/>
      <c r="D120" s="562"/>
      <c r="E120" s="563"/>
      <c r="F120" s="563"/>
      <c r="G120" s="564" t="s">
        <v>271</v>
      </c>
      <c r="H120" s="551" t="s">
        <v>290</v>
      </c>
      <c r="I120" s="552" t="s">
        <v>79</v>
      </c>
      <c r="J120" s="553" t="s">
        <v>287</v>
      </c>
      <c r="K120" s="565">
        <v>40823</v>
      </c>
      <c r="L120" s="555" t="s">
        <v>68</v>
      </c>
      <c r="M120" s="551">
        <v>10</v>
      </c>
      <c r="N120" s="556">
        <v>10</v>
      </c>
      <c r="O120" s="566">
        <v>372</v>
      </c>
      <c r="P120" s="567">
        <v>50</v>
      </c>
      <c r="Q120" s="568">
        <f>31458.5+18316.5+9973.5+2181+7429+3551+2891+512+313+372</f>
        <v>76997.5</v>
      </c>
      <c r="R120" s="569">
        <f>2922+2132+1224+343+1097+635+770+85+39+50</f>
        <v>9297</v>
      </c>
      <c r="S120" s="570">
        <v>40907</v>
      </c>
    </row>
    <row r="121" spans="1:19" ht="9.75" customHeight="1">
      <c r="A121" s="608"/>
      <c r="B121" s="230">
        <v>3</v>
      </c>
      <c r="C121" s="571"/>
      <c r="D121" s="231" t="s">
        <v>292</v>
      </c>
      <c r="E121" s="583"/>
      <c r="F121" s="563"/>
      <c r="G121" s="637" t="s">
        <v>57</v>
      </c>
      <c r="H121" s="551" t="s">
        <v>97</v>
      </c>
      <c r="I121" s="555" t="s">
        <v>95</v>
      </c>
      <c r="J121" s="555" t="s">
        <v>58</v>
      </c>
      <c r="K121" s="629">
        <v>40795</v>
      </c>
      <c r="L121" s="555" t="s">
        <v>10</v>
      </c>
      <c r="M121" s="609">
        <v>142</v>
      </c>
      <c r="N121" s="643">
        <v>18</v>
      </c>
      <c r="O121" s="579">
        <v>3430</v>
      </c>
      <c r="P121" s="580">
        <v>385</v>
      </c>
      <c r="Q121" s="581">
        <f>4013616+3430</f>
        <v>4017046</v>
      </c>
      <c r="R121" s="582">
        <f>390462+385</f>
        <v>390847</v>
      </c>
      <c r="S121" s="561">
        <v>40914</v>
      </c>
    </row>
    <row r="122" spans="1:19" ht="9.75" customHeight="1">
      <c r="A122" s="597"/>
      <c r="B122" s="597"/>
      <c r="C122" s="562"/>
      <c r="D122" s="231" t="s">
        <v>292</v>
      </c>
      <c r="E122" s="583"/>
      <c r="F122" s="563"/>
      <c r="G122" s="637" t="s">
        <v>57</v>
      </c>
      <c r="H122" s="551" t="s">
        <v>97</v>
      </c>
      <c r="I122" s="555" t="s">
        <v>95</v>
      </c>
      <c r="J122" s="555" t="s">
        <v>58</v>
      </c>
      <c r="K122" s="629">
        <v>40795</v>
      </c>
      <c r="L122" s="555" t="s">
        <v>10</v>
      </c>
      <c r="M122" s="602">
        <v>142</v>
      </c>
      <c r="N122" s="638">
        <v>17</v>
      </c>
      <c r="O122" s="566">
        <v>948</v>
      </c>
      <c r="P122" s="567">
        <v>133</v>
      </c>
      <c r="Q122" s="568">
        <v>4013616</v>
      </c>
      <c r="R122" s="569">
        <v>390462</v>
      </c>
      <c r="S122" s="570">
        <v>40907</v>
      </c>
    </row>
    <row r="123" spans="1:19" ht="9.75" customHeight="1">
      <c r="A123" s="608"/>
      <c r="B123" s="230">
        <v>3</v>
      </c>
      <c r="C123" s="571"/>
      <c r="D123" s="231" t="s">
        <v>292</v>
      </c>
      <c r="E123" s="583"/>
      <c r="F123" s="563"/>
      <c r="G123" s="637" t="s">
        <v>57</v>
      </c>
      <c r="H123" s="551" t="s">
        <v>97</v>
      </c>
      <c r="I123" s="555" t="s">
        <v>95</v>
      </c>
      <c r="J123" s="555" t="s">
        <v>58</v>
      </c>
      <c r="K123" s="629">
        <v>40795</v>
      </c>
      <c r="L123" s="555" t="s">
        <v>10</v>
      </c>
      <c r="M123" s="602">
        <v>142</v>
      </c>
      <c r="N123" s="638">
        <v>19</v>
      </c>
      <c r="O123" s="566">
        <v>180</v>
      </c>
      <c r="P123" s="567">
        <v>30</v>
      </c>
      <c r="Q123" s="568">
        <v>4017226</v>
      </c>
      <c r="R123" s="569">
        <v>390877</v>
      </c>
      <c r="S123" s="561">
        <v>40921</v>
      </c>
    </row>
    <row r="124" spans="1:19" ht="9.75" customHeight="1">
      <c r="A124" s="562"/>
      <c r="B124" s="562"/>
      <c r="C124" s="562"/>
      <c r="D124" s="562"/>
      <c r="E124" s="563"/>
      <c r="F124" s="599" t="s">
        <v>54</v>
      </c>
      <c r="G124" s="564" t="s">
        <v>73</v>
      </c>
      <c r="H124" s="553" t="s">
        <v>87</v>
      </c>
      <c r="I124" s="553"/>
      <c r="J124" s="553" t="s">
        <v>73</v>
      </c>
      <c r="K124" s="565">
        <v>40858</v>
      </c>
      <c r="L124" s="555" t="s">
        <v>68</v>
      </c>
      <c r="M124" s="551">
        <v>32</v>
      </c>
      <c r="N124" s="556">
        <v>8</v>
      </c>
      <c r="O124" s="566">
        <v>5519</v>
      </c>
      <c r="P124" s="567">
        <v>782</v>
      </c>
      <c r="Q124" s="568">
        <f>119417+74006.5+30939.5+15734+17682+7740+3814.5+5519</f>
        <v>274852.5</v>
      </c>
      <c r="R124" s="569">
        <f>12383+8559+4204+1986+2778+1301+707+782</f>
        <v>32700</v>
      </c>
      <c r="S124" s="570">
        <v>40907</v>
      </c>
    </row>
    <row r="125" spans="1:19" ht="9.75" customHeight="1">
      <c r="A125" s="571"/>
      <c r="B125" s="571"/>
      <c r="C125" s="571"/>
      <c r="D125" s="571"/>
      <c r="E125" s="572"/>
      <c r="F125" s="599" t="s">
        <v>54</v>
      </c>
      <c r="G125" s="564" t="s">
        <v>73</v>
      </c>
      <c r="H125" s="553" t="s">
        <v>87</v>
      </c>
      <c r="I125" s="553"/>
      <c r="J125" s="553" t="s">
        <v>73</v>
      </c>
      <c r="K125" s="565">
        <v>40858</v>
      </c>
      <c r="L125" s="555" t="s">
        <v>68</v>
      </c>
      <c r="M125" s="551">
        <v>32</v>
      </c>
      <c r="N125" s="556">
        <v>10</v>
      </c>
      <c r="O125" s="566">
        <v>1782</v>
      </c>
      <c r="P125" s="567">
        <v>325</v>
      </c>
      <c r="Q125" s="568">
        <f>119417+74006.5+30939.5+15734+17682+7740+3814.5+5519+937+732+479+1782</f>
        <v>278782.5</v>
      </c>
      <c r="R125" s="569">
        <f>12383+8559+4204+1986+2778+1301+707+782+165+115+82+325</f>
        <v>33387</v>
      </c>
      <c r="S125" s="561">
        <v>40935</v>
      </c>
    </row>
    <row r="126" spans="1:19" ht="9.75" customHeight="1">
      <c r="A126" s="527"/>
      <c r="B126" s="527"/>
      <c r="C126" s="527"/>
      <c r="D126" s="527"/>
      <c r="E126" s="533"/>
      <c r="F126" s="529" t="s">
        <v>54</v>
      </c>
      <c r="G126" s="564" t="s">
        <v>73</v>
      </c>
      <c r="H126" s="553" t="s">
        <v>87</v>
      </c>
      <c r="I126" s="553"/>
      <c r="J126" s="553" t="s">
        <v>73</v>
      </c>
      <c r="K126" s="565">
        <v>40858</v>
      </c>
      <c r="L126" s="555" t="s">
        <v>68</v>
      </c>
      <c r="M126" s="551">
        <v>32</v>
      </c>
      <c r="N126" s="556">
        <v>13</v>
      </c>
      <c r="O126" s="566">
        <v>1188</v>
      </c>
      <c r="P126" s="567">
        <v>238</v>
      </c>
      <c r="Q126" s="568">
        <f>119417+74006.5+30939.5+15734+17682+7740+3814.5+5519+937+732+479+1782+1188</f>
        <v>279970.5</v>
      </c>
      <c r="R126" s="569">
        <f>12383+8559+4204+1986+2778+1301+707+782+165+115+82+325+238</f>
        <v>33625</v>
      </c>
      <c r="S126" s="561">
        <v>40942</v>
      </c>
    </row>
    <row r="127" spans="1:19" ht="9.75" customHeight="1">
      <c r="A127" s="571"/>
      <c r="B127" s="571"/>
      <c r="C127" s="571"/>
      <c r="D127" s="571"/>
      <c r="E127" s="572"/>
      <c r="F127" s="599" t="s">
        <v>54</v>
      </c>
      <c r="G127" s="564" t="s">
        <v>73</v>
      </c>
      <c r="H127" s="553" t="s">
        <v>87</v>
      </c>
      <c r="I127" s="553"/>
      <c r="J127" s="553" t="s">
        <v>73</v>
      </c>
      <c r="K127" s="565">
        <v>40858</v>
      </c>
      <c r="L127" s="555" t="s">
        <v>68</v>
      </c>
      <c r="M127" s="577">
        <v>32</v>
      </c>
      <c r="N127" s="578">
        <v>9</v>
      </c>
      <c r="O127" s="579">
        <v>937</v>
      </c>
      <c r="P127" s="580">
        <v>165</v>
      </c>
      <c r="Q127" s="581">
        <f>119417+74006.5+30939.5+15734+17682+7740+3814.5+5519+937</f>
        <v>275789.5</v>
      </c>
      <c r="R127" s="582">
        <f>12383+8559+4204+1986+2778+1301+707+782+165</f>
        <v>32865</v>
      </c>
      <c r="S127" s="561">
        <v>40914</v>
      </c>
    </row>
    <row r="128" spans="1:19" ht="9.75" customHeight="1">
      <c r="A128" s="571"/>
      <c r="B128" s="571"/>
      <c r="C128" s="571"/>
      <c r="D128" s="571"/>
      <c r="E128" s="572"/>
      <c r="F128" s="599" t="s">
        <v>54</v>
      </c>
      <c r="G128" s="564" t="s">
        <v>73</v>
      </c>
      <c r="H128" s="553" t="s">
        <v>87</v>
      </c>
      <c r="I128" s="553"/>
      <c r="J128" s="553" t="s">
        <v>73</v>
      </c>
      <c r="K128" s="565">
        <v>40858</v>
      </c>
      <c r="L128" s="555" t="s">
        <v>68</v>
      </c>
      <c r="M128" s="551">
        <v>32</v>
      </c>
      <c r="N128" s="556">
        <v>10</v>
      </c>
      <c r="O128" s="566">
        <v>732</v>
      </c>
      <c r="P128" s="567">
        <v>115</v>
      </c>
      <c r="Q128" s="568">
        <f>119417+74006.5+30939.5+15734+17682+7740+3814.5+5519+937+732</f>
        <v>276521.5</v>
      </c>
      <c r="R128" s="569">
        <f>12383+8559+4204+1986+2778+1301+707+782+165+115</f>
        <v>32980</v>
      </c>
      <c r="S128" s="561">
        <v>40921</v>
      </c>
    </row>
    <row r="129" spans="1:19" ht="9.75" customHeight="1">
      <c r="A129" s="527"/>
      <c r="B129" s="527"/>
      <c r="C129" s="527"/>
      <c r="D129" s="527"/>
      <c r="E129" s="533"/>
      <c r="F129" s="529" t="s">
        <v>54</v>
      </c>
      <c r="G129" s="550" t="s">
        <v>73</v>
      </c>
      <c r="H129" s="553" t="s">
        <v>87</v>
      </c>
      <c r="I129" s="553"/>
      <c r="J129" s="553" t="s">
        <v>73</v>
      </c>
      <c r="K129" s="554">
        <v>40858</v>
      </c>
      <c r="L129" s="555" t="s">
        <v>68</v>
      </c>
      <c r="M129" s="551">
        <v>32</v>
      </c>
      <c r="N129" s="556">
        <v>13</v>
      </c>
      <c r="O129" s="557">
        <v>713</v>
      </c>
      <c r="P129" s="558">
        <v>143</v>
      </c>
      <c r="Q129" s="559">
        <f>119417+74006.5+30939.5+15734+17682+7740+3814.5+5519+937+732+479+1782+1188+713</f>
        <v>280683.5</v>
      </c>
      <c r="R129" s="560">
        <f>12383+8559+4204+1986+2778+1301+707+782+165+115+82+325+238+143</f>
        <v>33768</v>
      </c>
      <c r="S129" s="561">
        <v>40949</v>
      </c>
    </row>
    <row r="130" spans="1:19" ht="9.75" customHeight="1">
      <c r="A130" s="571"/>
      <c r="B130" s="571"/>
      <c r="C130" s="571"/>
      <c r="D130" s="571"/>
      <c r="E130" s="572"/>
      <c r="F130" s="599" t="s">
        <v>54</v>
      </c>
      <c r="G130" s="564" t="s">
        <v>73</v>
      </c>
      <c r="H130" s="553" t="s">
        <v>87</v>
      </c>
      <c r="I130" s="553"/>
      <c r="J130" s="553" t="s">
        <v>73</v>
      </c>
      <c r="K130" s="565">
        <v>40858</v>
      </c>
      <c r="L130" s="555" t="s">
        <v>68</v>
      </c>
      <c r="M130" s="551">
        <v>32</v>
      </c>
      <c r="N130" s="556">
        <v>10</v>
      </c>
      <c r="O130" s="566">
        <v>479</v>
      </c>
      <c r="P130" s="567">
        <v>82</v>
      </c>
      <c r="Q130" s="568">
        <f>119417+74006.5+30939.5+15734+17682+7740+3814.5+5519+937+732+479</f>
        <v>277000.5</v>
      </c>
      <c r="R130" s="569">
        <f>12383+8559+4204+1986+2778+1301+707+782+165+115+82</f>
        <v>33062</v>
      </c>
      <c r="S130" s="561">
        <v>40928</v>
      </c>
    </row>
    <row r="131" spans="1:19" ht="9.75" customHeight="1">
      <c r="A131" s="527"/>
      <c r="B131" s="527"/>
      <c r="C131" s="527"/>
      <c r="D131" s="527"/>
      <c r="E131" s="533"/>
      <c r="F131" s="529" t="s">
        <v>54</v>
      </c>
      <c r="G131" s="550" t="s">
        <v>73</v>
      </c>
      <c r="H131" s="553" t="s">
        <v>87</v>
      </c>
      <c r="I131" s="553"/>
      <c r="J131" s="553" t="s">
        <v>73</v>
      </c>
      <c r="K131" s="565">
        <v>40858</v>
      </c>
      <c r="L131" s="555" t="s">
        <v>68</v>
      </c>
      <c r="M131" s="551">
        <v>32</v>
      </c>
      <c r="N131" s="556">
        <v>1</v>
      </c>
      <c r="O131" s="566">
        <v>96</v>
      </c>
      <c r="P131" s="567">
        <v>32</v>
      </c>
      <c r="Q131" s="568">
        <f>119417+74006.5+30939.5+15734+17682+7740+3814.5+5519+937+732+479+1782+1188+713+96</f>
        <v>280779.5</v>
      </c>
      <c r="R131" s="569">
        <f>12383+8559+4204+1986+2778+1301+707+782+165+115+82+325+238+143+32</f>
        <v>33800</v>
      </c>
      <c r="S131" s="561">
        <v>40956</v>
      </c>
    </row>
    <row r="132" spans="1:19" ht="9.75" customHeight="1">
      <c r="A132" s="229" t="s">
        <v>223</v>
      </c>
      <c r="B132" s="571"/>
      <c r="C132" s="608"/>
      <c r="D132" s="231" t="s">
        <v>292</v>
      </c>
      <c r="E132" s="598" t="s">
        <v>55</v>
      </c>
      <c r="F132" s="563"/>
      <c r="G132" s="564" t="s">
        <v>441</v>
      </c>
      <c r="H132" s="553" t="s">
        <v>458</v>
      </c>
      <c r="I132" s="553" t="s">
        <v>89</v>
      </c>
      <c r="J132" s="553" t="s">
        <v>467</v>
      </c>
      <c r="K132" s="565">
        <v>40697</v>
      </c>
      <c r="L132" s="555" t="s">
        <v>68</v>
      </c>
      <c r="M132" s="551">
        <v>71</v>
      </c>
      <c r="N132" s="621">
        <v>31</v>
      </c>
      <c r="O132" s="566">
        <v>7128</v>
      </c>
      <c r="P132" s="567">
        <v>1783</v>
      </c>
      <c r="Q132" s="568">
        <f>204018.5+92011.75+38624.5+27400+22817+12697.5+8373+8455.5+6781+2290+2830+1048+3163+3005+2166+6840+1490+14+6415.5+3721.5+7267.5+3007+701.5+608.5+3931+316+1244+768+1787+1197+7128</f>
        <v>482117.25</v>
      </c>
      <c r="R132" s="569">
        <f>20915+10991+4900+3855+3433+1986+1329+1415+1032+399+409+237+591+657+312+1653+293+7+1605+687+1458+678+106+95+900+62+202+109+514+390+1783</f>
        <v>63003</v>
      </c>
      <c r="S132" s="561">
        <v>40928</v>
      </c>
    </row>
    <row r="133" spans="1:19" ht="9.75" customHeight="1">
      <c r="A133" s="530" t="s">
        <v>223</v>
      </c>
      <c r="B133" s="527"/>
      <c r="C133" s="616"/>
      <c r="D133" s="531" t="s">
        <v>292</v>
      </c>
      <c r="E133" s="528" t="s">
        <v>55</v>
      </c>
      <c r="F133" s="532"/>
      <c r="G133" s="564" t="s">
        <v>441</v>
      </c>
      <c r="H133" s="553" t="s">
        <v>458</v>
      </c>
      <c r="I133" s="553" t="s">
        <v>89</v>
      </c>
      <c r="J133" s="553" t="s">
        <v>467</v>
      </c>
      <c r="K133" s="565">
        <v>40697</v>
      </c>
      <c r="L133" s="555" t="s">
        <v>68</v>
      </c>
      <c r="M133" s="551">
        <v>71</v>
      </c>
      <c r="N133" s="556">
        <v>33</v>
      </c>
      <c r="O133" s="566">
        <v>3008</v>
      </c>
      <c r="P133" s="567">
        <v>720</v>
      </c>
      <c r="Q133" s="568">
        <f>204018.5+92011.75+38624.5+27400+22817+12697.5+8373+8455.5+6781+2290+2830+1048+3163+3005+2166+6840+1490+14+6415.5+3721.5+7267.5+3007+701.5+608.5+3931+316+1244+768+1787+1197+7128+1188+3008</f>
        <v>486313.25</v>
      </c>
      <c r="R133" s="569">
        <f>20915+10991+4900+3855+3433+1986+1329+1415+1032+399+409+237+591+657+312+1653+293+7+1605+687+1458+678+106+95+900+62+202+109+514+390+1783+238+720</f>
        <v>63961</v>
      </c>
      <c r="S133" s="561">
        <v>40942</v>
      </c>
    </row>
    <row r="134" spans="1:19" ht="9.75" customHeight="1">
      <c r="A134" s="229" t="s">
        <v>223</v>
      </c>
      <c r="B134" s="571"/>
      <c r="C134" s="608"/>
      <c r="D134" s="231" t="s">
        <v>292</v>
      </c>
      <c r="E134" s="598" t="s">
        <v>55</v>
      </c>
      <c r="F134" s="563"/>
      <c r="G134" s="564" t="s">
        <v>441</v>
      </c>
      <c r="H134" s="553" t="s">
        <v>458</v>
      </c>
      <c r="I134" s="553" t="s">
        <v>89</v>
      </c>
      <c r="J134" s="553" t="s">
        <v>467</v>
      </c>
      <c r="K134" s="565">
        <v>40697</v>
      </c>
      <c r="L134" s="555" t="s">
        <v>68</v>
      </c>
      <c r="M134" s="551">
        <v>71</v>
      </c>
      <c r="N134" s="556">
        <v>31</v>
      </c>
      <c r="O134" s="566">
        <v>1188</v>
      </c>
      <c r="P134" s="567">
        <v>238</v>
      </c>
      <c r="Q134" s="568">
        <f>204018.5+92011.75+38624.5+27400+22817+12697.5+8373+8455.5+6781+2290+2830+1048+3163+3005+2166+6840+1490+14+6415.5+3721.5+7267.5+3007+701.5+608.5+3931+316+1244+768+1787+1197+7128+1188</f>
        <v>483305.25</v>
      </c>
      <c r="R134" s="569">
        <f>20915+10991+4900+3855+3433+1986+1329+1415+1032+399+409+237+591+657+312+1653+293+7+1605+687+1458+678+106+95+900+62+202+109+514+390+1783+238</f>
        <v>63241</v>
      </c>
      <c r="S134" s="561">
        <v>40935</v>
      </c>
    </row>
    <row r="135" spans="1:19" ht="9.75" customHeight="1">
      <c r="A135" s="229" t="s">
        <v>223</v>
      </c>
      <c r="B135" s="571"/>
      <c r="C135" s="608"/>
      <c r="D135" s="231" t="s">
        <v>292</v>
      </c>
      <c r="E135" s="598" t="s">
        <v>55</v>
      </c>
      <c r="F135" s="563"/>
      <c r="G135" s="564" t="s">
        <v>446</v>
      </c>
      <c r="H135" s="553" t="s">
        <v>450</v>
      </c>
      <c r="I135" s="553"/>
      <c r="J135" s="553" t="s">
        <v>454</v>
      </c>
      <c r="K135" s="565">
        <v>39878</v>
      </c>
      <c r="L135" s="555" t="s">
        <v>68</v>
      </c>
      <c r="M135" s="551">
        <v>39</v>
      </c>
      <c r="N135" s="621">
        <v>39</v>
      </c>
      <c r="O135" s="566">
        <v>2852</v>
      </c>
      <c r="P135" s="567">
        <v>713</v>
      </c>
      <c r="Q135" s="568">
        <f>143992.5+82756.5+42509+41229+27290.5+16668+27602+17675+4710+8504.5+2403+4164+2272+3469+1997+135+299+674+178+30+240+1413+1006+209+393+680+1780+4040+1780+1780+952+745+2376+2376+2376+4752+2376+708+2852</f>
        <v>461392</v>
      </c>
      <c r="R135" s="569">
        <f>15320+9228+5096+5970+4485+3115+5134+3946+1139+2307+509+879+411+637+472+29+62+165+32+6+48+348+139+43+54+68+445+1010+445+445+238+149+594+594+594+1188+594+164+713</f>
        <v>66815</v>
      </c>
      <c r="S135" s="561">
        <v>40928</v>
      </c>
    </row>
    <row r="136" spans="1:19" ht="9.75" customHeight="1">
      <c r="A136" s="530" t="s">
        <v>223</v>
      </c>
      <c r="B136" s="527"/>
      <c r="C136" s="616"/>
      <c r="D136" s="531" t="s">
        <v>292</v>
      </c>
      <c r="E136" s="528" t="s">
        <v>55</v>
      </c>
      <c r="F136" s="532"/>
      <c r="G136" s="550" t="s">
        <v>446</v>
      </c>
      <c r="H136" s="553" t="s">
        <v>714</v>
      </c>
      <c r="I136" s="553" t="s">
        <v>89</v>
      </c>
      <c r="J136" s="553" t="s">
        <v>454</v>
      </c>
      <c r="K136" s="554">
        <v>39878</v>
      </c>
      <c r="L136" s="555" t="s">
        <v>68</v>
      </c>
      <c r="M136" s="551">
        <v>39</v>
      </c>
      <c r="N136" s="556">
        <v>39</v>
      </c>
      <c r="O136" s="557">
        <v>2446</v>
      </c>
      <c r="P136" s="558">
        <v>1164</v>
      </c>
      <c r="Q136" s="559">
        <f>204018.5+92011.75+38624.5+27400+22817+12697.5+8373+8455.5+6781+2290+2830+1048+3163+3005+2166+6840+1490+14+6415.5+3721.5+7267.5+3007+701.5+608.5+3931+316+1244+768+1787+1197+7128+1188+3008+2446</f>
        <v>488759.25</v>
      </c>
      <c r="R136" s="560">
        <f>20915+10991+4900+3855+3433+1986+1329+1415+1032+399+409+237+591+657+312+1653+293+7+1605+687+1458+678+106+95+900+62+202+109+514+390+1783+238+720+1164</f>
        <v>65125</v>
      </c>
      <c r="S136" s="561">
        <v>40949</v>
      </c>
    </row>
    <row r="137" spans="1:19" ht="9.75" customHeight="1">
      <c r="A137" s="571"/>
      <c r="B137" s="571"/>
      <c r="C137" s="562"/>
      <c r="D137" s="571"/>
      <c r="E137" s="563"/>
      <c r="F137" s="563"/>
      <c r="G137" s="635" t="s">
        <v>253</v>
      </c>
      <c r="H137" s="555" t="s">
        <v>254</v>
      </c>
      <c r="I137" s="555" t="s">
        <v>79</v>
      </c>
      <c r="J137" s="555" t="s">
        <v>255</v>
      </c>
      <c r="K137" s="565">
        <v>40802</v>
      </c>
      <c r="L137" s="555" t="s">
        <v>13</v>
      </c>
      <c r="M137" s="636">
        <v>8</v>
      </c>
      <c r="N137" s="556">
        <v>14</v>
      </c>
      <c r="O137" s="595">
        <v>302.5</v>
      </c>
      <c r="P137" s="596">
        <v>67</v>
      </c>
      <c r="Q137" s="614">
        <v>73390</v>
      </c>
      <c r="R137" s="615">
        <v>8093</v>
      </c>
      <c r="S137" s="570">
        <v>40907</v>
      </c>
    </row>
    <row r="138" spans="1:19" ht="9.75" customHeight="1">
      <c r="A138" s="571"/>
      <c r="B138" s="571"/>
      <c r="C138" s="571"/>
      <c r="D138" s="571"/>
      <c r="E138" s="563"/>
      <c r="F138" s="599" t="s">
        <v>54</v>
      </c>
      <c r="G138" s="635" t="s">
        <v>237</v>
      </c>
      <c r="H138" s="555" t="s">
        <v>238</v>
      </c>
      <c r="I138" s="555"/>
      <c r="J138" s="555" t="s">
        <v>237</v>
      </c>
      <c r="K138" s="565">
        <v>40613</v>
      </c>
      <c r="L138" s="555" t="s">
        <v>13</v>
      </c>
      <c r="M138" s="551">
        <v>25</v>
      </c>
      <c r="N138" s="556">
        <v>19</v>
      </c>
      <c r="O138" s="678">
        <v>605</v>
      </c>
      <c r="P138" s="679">
        <v>121</v>
      </c>
      <c r="Q138" s="680">
        <v>212148.5</v>
      </c>
      <c r="R138" s="681">
        <v>28587</v>
      </c>
      <c r="S138" s="561">
        <v>40935</v>
      </c>
    </row>
    <row r="139" spans="1:19" ht="9.75" customHeight="1">
      <c r="A139" s="571"/>
      <c r="B139" s="571"/>
      <c r="C139" s="562"/>
      <c r="D139" s="571"/>
      <c r="E139" s="563"/>
      <c r="F139" s="599" t="s">
        <v>54</v>
      </c>
      <c r="G139" s="635" t="s">
        <v>237</v>
      </c>
      <c r="H139" s="555" t="s">
        <v>238</v>
      </c>
      <c r="I139" s="555"/>
      <c r="J139" s="555" t="s">
        <v>237</v>
      </c>
      <c r="K139" s="565">
        <v>40613</v>
      </c>
      <c r="L139" s="555" t="s">
        <v>13</v>
      </c>
      <c r="M139" s="636">
        <v>25</v>
      </c>
      <c r="N139" s="556">
        <v>19</v>
      </c>
      <c r="O139" s="595">
        <v>594</v>
      </c>
      <c r="P139" s="596">
        <v>118</v>
      </c>
      <c r="Q139" s="614">
        <v>211543.5</v>
      </c>
      <c r="R139" s="615">
        <v>28466</v>
      </c>
      <c r="S139" s="570">
        <v>40907</v>
      </c>
    </row>
    <row r="140" spans="1:19" ht="9.75" customHeight="1">
      <c r="A140" s="229" t="s">
        <v>223</v>
      </c>
      <c r="B140" s="571"/>
      <c r="C140" s="571"/>
      <c r="D140" s="571"/>
      <c r="E140" s="598" t="s">
        <v>55</v>
      </c>
      <c r="F140" s="563"/>
      <c r="G140" s="564" t="s">
        <v>400</v>
      </c>
      <c r="H140" s="553" t="s">
        <v>126</v>
      </c>
      <c r="I140" s="553" t="s">
        <v>89</v>
      </c>
      <c r="J140" s="553" t="s">
        <v>403</v>
      </c>
      <c r="K140" s="565">
        <v>40543</v>
      </c>
      <c r="L140" s="555" t="s">
        <v>68</v>
      </c>
      <c r="M140" s="551">
        <v>99</v>
      </c>
      <c r="N140" s="556">
        <v>26</v>
      </c>
      <c r="O140" s="566">
        <v>1425.5</v>
      </c>
      <c r="P140" s="567">
        <v>356</v>
      </c>
      <c r="Q140" s="568">
        <f>74157.5+721285.5+410076+112730.5+28262.5+6646+19483.5+940+1245+2674.5+7128+1782+331+245+6545.5+694+1782+1782+1782+1188+306+1188+3340+316+713+2376+1425.5</f>
        <v>1410425</v>
      </c>
      <c r="R140" s="569">
        <f>7361+62279+35611+10987+4077+689+3901+125+178+502+1781+445+78+59+1496+114+446+446+446+297+61+297+668+53+178+594+356</f>
        <v>133525</v>
      </c>
      <c r="S140" s="561">
        <v>40921</v>
      </c>
    </row>
    <row r="141" spans="1:19" ht="9.75" customHeight="1">
      <c r="A141" s="562"/>
      <c r="B141" s="230">
        <v>3</v>
      </c>
      <c r="C141" s="562"/>
      <c r="D141" s="571"/>
      <c r="E141" s="563"/>
      <c r="F141" s="563"/>
      <c r="G141" s="564" t="s">
        <v>282</v>
      </c>
      <c r="H141" s="551" t="s">
        <v>281</v>
      </c>
      <c r="I141" s="552" t="s">
        <v>248</v>
      </c>
      <c r="J141" s="553" t="s">
        <v>280</v>
      </c>
      <c r="K141" s="565">
        <v>40767</v>
      </c>
      <c r="L141" s="555" t="s">
        <v>68</v>
      </c>
      <c r="M141" s="551">
        <v>39</v>
      </c>
      <c r="N141" s="621">
        <v>17</v>
      </c>
      <c r="O141" s="566">
        <v>754.5</v>
      </c>
      <c r="P141" s="567">
        <v>110</v>
      </c>
      <c r="Q141" s="568">
        <f>227782+93706+36180+21819+14718.5+11547.5+9757.5+8598+8681+8538+4936.5+48+662+5495+26+1437+754.5</f>
        <v>454686.5</v>
      </c>
      <c r="R141" s="569">
        <f>21125+9522+4298+2881+1947+1746+1401+1176+1202+1176+682+7+103+939+4+204+110</f>
        <v>48523</v>
      </c>
      <c r="S141" s="570">
        <v>40907</v>
      </c>
    </row>
    <row r="142" spans="1:19" ht="9.75" customHeight="1">
      <c r="A142" s="571"/>
      <c r="B142" s="230">
        <v>3</v>
      </c>
      <c r="C142" s="562"/>
      <c r="D142" s="571"/>
      <c r="E142" s="572"/>
      <c r="F142" s="563"/>
      <c r="G142" s="564" t="s">
        <v>282</v>
      </c>
      <c r="H142" s="551" t="s">
        <v>281</v>
      </c>
      <c r="I142" s="552" t="s">
        <v>248</v>
      </c>
      <c r="J142" s="553" t="s">
        <v>280</v>
      </c>
      <c r="K142" s="565">
        <v>40767</v>
      </c>
      <c r="L142" s="555" t="s">
        <v>68</v>
      </c>
      <c r="M142" s="577">
        <v>39</v>
      </c>
      <c r="N142" s="590">
        <v>17</v>
      </c>
      <c r="O142" s="579">
        <v>389.5</v>
      </c>
      <c r="P142" s="580">
        <v>56</v>
      </c>
      <c r="Q142" s="581">
        <f>227782+93706+36180+21819+14718.5+11547.5+9757.5+8598+8681+8538+4936.5+48+662+5495+26+1437+754.5+389.5</f>
        <v>455076</v>
      </c>
      <c r="R142" s="582">
        <f>21125+9522+4298+2881+1947+1746+1401+1176+1202+1176+682+7+103+939+4+204+110+56</f>
        <v>48579</v>
      </c>
      <c r="S142" s="561">
        <v>40914</v>
      </c>
    </row>
    <row r="143" spans="1:19" ht="9.75" customHeight="1">
      <c r="A143" s="571"/>
      <c r="B143" s="571"/>
      <c r="C143" s="562"/>
      <c r="D143" s="571"/>
      <c r="E143" s="598" t="s">
        <v>55</v>
      </c>
      <c r="F143" s="563"/>
      <c r="G143" s="637" t="s">
        <v>157</v>
      </c>
      <c r="H143" s="555" t="s">
        <v>163</v>
      </c>
      <c r="I143" s="555" t="s">
        <v>128</v>
      </c>
      <c r="J143" s="555" t="s">
        <v>160</v>
      </c>
      <c r="K143" s="565">
        <v>40907</v>
      </c>
      <c r="L143" s="555" t="s">
        <v>13</v>
      </c>
      <c r="M143" s="551">
        <v>2</v>
      </c>
      <c r="N143" s="556">
        <v>1</v>
      </c>
      <c r="O143" s="595">
        <v>2845</v>
      </c>
      <c r="P143" s="596">
        <v>437</v>
      </c>
      <c r="Q143" s="614">
        <v>2845</v>
      </c>
      <c r="R143" s="615">
        <v>437</v>
      </c>
      <c r="S143" s="570">
        <v>40907</v>
      </c>
    </row>
    <row r="144" spans="1:19" ht="9.75" customHeight="1">
      <c r="A144" s="229" t="s">
        <v>223</v>
      </c>
      <c r="B144" s="230">
        <v>3</v>
      </c>
      <c r="C144" s="571"/>
      <c r="D144" s="571"/>
      <c r="E144" s="598" t="s">
        <v>55</v>
      </c>
      <c r="F144" s="572"/>
      <c r="G144" s="628" t="s">
        <v>559</v>
      </c>
      <c r="H144" s="551" t="s">
        <v>560</v>
      </c>
      <c r="I144" s="602" t="s">
        <v>561</v>
      </c>
      <c r="J144" s="602" t="s">
        <v>562</v>
      </c>
      <c r="K144" s="565">
        <v>40669</v>
      </c>
      <c r="L144" s="555" t="s">
        <v>8</v>
      </c>
      <c r="M144" s="682">
        <v>51</v>
      </c>
      <c r="N144" s="683">
        <v>24</v>
      </c>
      <c r="O144" s="684">
        <v>129</v>
      </c>
      <c r="P144" s="685">
        <v>20</v>
      </c>
      <c r="Q144" s="649">
        <v>479058</v>
      </c>
      <c r="R144" s="650">
        <v>49174</v>
      </c>
      <c r="S144" s="561">
        <v>40935</v>
      </c>
    </row>
    <row r="145" spans="1:19" ht="9.75" customHeight="1">
      <c r="A145" s="623" t="s">
        <v>223</v>
      </c>
      <c r="B145" s="686">
        <v>3</v>
      </c>
      <c r="C145" s="573"/>
      <c r="D145" s="573"/>
      <c r="E145" s="626" t="s">
        <v>55</v>
      </c>
      <c r="F145" s="574"/>
      <c r="G145" s="628" t="s">
        <v>559</v>
      </c>
      <c r="H145" s="551" t="s">
        <v>560</v>
      </c>
      <c r="I145" s="602" t="s">
        <v>561</v>
      </c>
      <c r="J145" s="602" t="s">
        <v>562</v>
      </c>
      <c r="K145" s="565">
        <v>40669</v>
      </c>
      <c r="L145" s="555" t="s">
        <v>8</v>
      </c>
      <c r="M145" s="682">
        <v>51</v>
      </c>
      <c r="N145" s="683">
        <v>25</v>
      </c>
      <c r="O145" s="566">
        <v>46</v>
      </c>
      <c r="P145" s="567">
        <v>6</v>
      </c>
      <c r="Q145" s="568">
        <v>479104</v>
      </c>
      <c r="R145" s="569">
        <v>49180</v>
      </c>
      <c r="S145" s="561">
        <v>40942</v>
      </c>
    </row>
    <row r="146" spans="1:19" ht="9.75" customHeight="1">
      <c r="A146" s="229" t="s">
        <v>223</v>
      </c>
      <c r="B146" s="562"/>
      <c r="C146" s="562"/>
      <c r="D146" s="562"/>
      <c r="E146" s="598" t="s">
        <v>55</v>
      </c>
      <c r="F146" s="563"/>
      <c r="G146" s="637" t="s">
        <v>152</v>
      </c>
      <c r="H146" s="551" t="s">
        <v>217</v>
      </c>
      <c r="I146" s="659" t="s">
        <v>94</v>
      </c>
      <c r="J146" s="555" t="s">
        <v>152</v>
      </c>
      <c r="K146" s="565">
        <v>40676</v>
      </c>
      <c r="L146" s="555" t="s">
        <v>12</v>
      </c>
      <c r="M146" s="551">
        <v>100</v>
      </c>
      <c r="N146" s="556">
        <v>34</v>
      </c>
      <c r="O146" s="618">
        <v>372</v>
      </c>
      <c r="P146" s="619">
        <v>46</v>
      </c>
      <c r="Q146" s="620">
        <v>1184752</v>
      </c>
      <c r="R146" s="589">
        <v>129821</v>
      </c>
      <c r="S146" s="570">
        <v>40907</v>
      </c>
    </row>
    <row r="147" spans="1:19" ht="9.75" customHeight="1">
      <c r="A147" s="229" t="s">
        <v>223</v>
      </c>
      <c r="B147" s="597"/>
      <c r="C147" s="562"/>
      <c r="D147" s="597"/>
      <c r="E147" s="563"/>
      <c r="F147" s="631"/>
      <c r="G147" s="628" t="s">
        <v>176</v>
      </c>
      <c r="H147" s="602" t="s">
        <v>179</v>
      </c>
      <c r="I147" s="551" t="s">
        <v>138</v>
      </c>
      <c r="J147" s="602" t="s">
        <v>180</v>
      </c>
      <c r="K147" s="565">
        <v>40837</v>
      </c>
      <c r="L147" s="555" t="s">
        <v>53</v>
      </c>
      <c r="M147" s="630">
        <v>33</v>
      </c>
      <c r="N147" s="603">
        <v>5</v>
      </c>
      <c r="O147" s="595">
        <v>511</v>
      </c>
      <c r="P147" s="596">
        <v>50</v>
      </c>
      <c r="Q147" s="687">
        <v>307870</v>
      </c>
      <c r="R147" s="688">
        <v>23173</v>
      </c>
      <c r="S147" s="570">
        <v>40907</v>
      </c>
    </row>
    <row r="148" spans="1:19" ht="9.75" customHeight="1">
      <c r="A148" s="571"/>
      <c r="B148" s="571"/>
      <c r="C148" s="571"/>
      <c r="D148" s="571"/>
      <c r="E148" s="572"/>
      <c r="F148" s="572"/>
      <c r="G148" s="637" t="s">
        <v>159</v>
      </c>
      <c r="H148" s="555" t="s">
        <v>164</v>
      </c>
      <c r="I148" s="555" t="s">
        <v>79</v>
      </c>
      <c r="J148" s="555" t="s">
        <v>165</v>
      </c>
      <c r="K148" s="629">
        <v>40886</v>
      </c>
      <c r="L148" s="555" t="s">
        <v>13</v>
      </c>
      <c r="M148" s="551">
        <v>3</v>
      </c>
      <c r="N148" s="556">
        <v>5</v>
      </c>
      <c r="O148" s="595">
        <v>3735</v>
      </c>
      <c r="P148" s="596">
        <v>565</v>
      </c>
      <c r="Q148" s="614">
        <v>14161</v>
      </c>
      <c r="R148" s="615">
        <v>2041</v>
      </c>
      <c r="S148" s="561">
        <v>40921</v>
      </c>
    </row>
    <row r="149" spans="1:19" ht="9.75" customHeight="1">
      <c r="A149" s="527"/>
      <c r="B149" s="527"/>
      <c r="C149" s="527"/>
      <c r="D149" s="527"/>
      <c r="E149" s="533"/>
      <c r="F149" s="533"/>
      <c r="G149" s="689" t="s">
        <v>159</v>
      </c>
      <c r="H149" s="555" t="s">
        <v>164</v>
      </c>
      <c r="I149" s="555" t="s">
        <v>79</v>
      </c>
      <c r="J149" s="555" t="s">
        <v>165</v>
      </c>
      <c r="K149" s="673">
        <v>40886</v>
      </c>
      <c r="L149" s="555" t="s">
        <v>13</v>
      </c>
      <c r="M149" s="551">
        <v>3</v>
      </c>
      <c r="N149" s="556">
        <v>9</v>
      </c>
      <c r="O149" s="618">
        <v>2127</v>
      </c>
      <c r="P149" s="619">
        <v>377</v>
      </c>
      <c r="Q149" s="620">
        <v>21965</v>
      </c>
      <c r="R149" s="589">
        <v>3214</v>
      </c>
      <c r="S149" s="561">
        <v>40949</v>
      </c>
    </row>
    <row r="150" spans="1:19" ht="9.75" customHeight="1">
      <c r="A150" s="571"/>
      <c r="B150" s="571"/>
      <c r="C150" s="571"/>
      <c r="D150" s="571"/>
      <c r="E150" s="572"/>
      <c r="F150" s="572"/>
      <c r="G150" s="637" t="s">
        <v>159</v>
      </c>
      <c r="H150" s="555" t="s">
        <v>164</v>
      </c>
      <c r="I150" s="555" t="s">
        <v>79</v>
      </c>
      <c r="J150" s="555" t="s">
        <v>165</v>
      </c>
      <c r="K150" s="629">
        <v>40886</v>
      </c>
      <c r="L150" s="555" t="s">
        <v>13</v>
      </c>
      <c r="M150" s="551">
        <v>3</v>
      </c>
      <c r="N150" s="556">
        <v>7</v>
      </c>
      <c r="O150" s="678">
        <v>2071</v>
      </c>
      <c r="P150" s="679">
        <v>307</v>
      </c>
      <c r="Q150" s="680">
        <v>18615</v>
      </c>
      <c r="R150" s="681">
        <v>2718</v>
      </c>
      <c r="S150" s="561">
        <v>40935</v>
      </c>
    </row>
    <row r="151" spans="1:19" ht="9.75" customHeight="1">
      <c r="A151" s="573"/>
      <c r="B151" s="573"/>
      <c r="C151" s="573"/>
      <c r="D151" s="573"/>
      <c r="E151" s="574"/>
      <c r="F151" s="574"/>
      <c r="G151" s="637" t="s">
        <v>159</v>
      </c>
      <c r="H151" s="555" t="s">
        <v>164</v>
      </c>
      <c r="I151" s="555" t="s">
        <v>79</v>
      </c>
      <c r="J151" s="555" t="s">
        <v>165</v>
      </c>
      <c r="K151" s="629">
        <v>40886</v>
      </c>
      <c r="L151" s="555" t="s">
        <v>13</v>
      </c>
      <c r="M151" s="551">
        <v>3</v>
      </c>
      <c r="N151" s="556">
        <v>8</v>
      </c>
      <c r="O151" s="678">
        <v>1223</v>
      </c>
      <c r="P151" s="679">
        <v>119</v>
      </c>
      <c r="Q151" s="680">
        <v>19838</v>
      </c>
      <c r="R151" s="681">
        <v>2837</v>
      </c>
      <c r="S151" s="561">
        <v>40942</v>
      </c>
    </row>
    <row r="152" spans="1:19" ht="9.75" customHeight="1">
      <c r="A152" s="571"/>
      <c r="B152" s="571"/>
      <c r="C152" s="571"/>
      <c r="D152" s="571"/>
      <c r="E152" s="572"/>
      <c r="F152" s="572"/>
      <c r="G152" s="637" t="s">
        <v>159</v>
      </c>
      <c r="H152" s="555" t="s">
        <v>164</v>
      </c>
      <c r="I152" s="555" t="s">
        <v>79</v>
      </c>
      <c r="J152" s="555" t="s">
        <v>165</v>
      </c>
      <c r="K152" s="629">
        <v>40886</v>
      </c>
      <c r="L152" s="555" t="s">
        <v>13</v>
      </c>
      <c r="M152" s="551">
        <v>3</v>
      </c>
      <c r="N152" s="556">
        <v>6</v>
      </c>
      <c r="O152" s="595">
        <v>453</v>
      </c>
      <c r="P152" s="596">
        <v>74</v>
      </c>
      <c r="Q152" s="614">
        <v>16544</v>
      </c>
      <c r="R152" s="615">
        <v>2411</v>
      </c>
      <c r="S152" s="561">
        <v>40928</v>
      </c>
    </row>
    <row r="153" spans="1:19" ht="9.75" customHeight="1">
      <c r="A153" s="571"/>
      <c r="B153" s="571"/>
      <c r="C153" s="571"/>
      <c r="D153" s="571"/>
      <c r="E153" s="572"/>
      <c r="F153" s="572"/>
      <c r="G153" s="637" t="s">
        <v>159</v>
      </c>
      <c r="H153" s="555" t="s">
        <v>164</v>
      </c>
      <c r="I153" s="555" t="s">
        <v>79</v>
      </c>
      <c r="J153" s="555" t="s">
        <v>165</v>
      </c>
      <c r="K153" s="629">
        <v>40886</v>
      </c>
      <c r="L153" s="555" t="s">
        <v>13</v>
      </c>
      <c r="M153" s="577">
        <v>3</v>
      </c>
      <c r="N153" s="690">
        <v>4</v>
      </c>
      <c r="O153" s="591">
        <v>402</v>
      </c>
      <c r="P153" s="592">
        <v>90</v>
      </c>
      <c r="Q153" s="593">
        <v>12356</v>
      </c>
      <c r="R153" s="594">
        <v>1772</v>
      </c>
      <c r="S153" s="561">
        <v>40914</v>
      </c>
    </row>
    <row r="154" spans="1:19" ht="9.75" customHeight="1">
      <c r="A154" s="571"/>
      <c r="B154" s="571"/>
      <c r="C154" s="562"/>
      <c r="D154" s="571"/>
      <c r="E154" s="563"/>
      <c r="F154" s="563"/>
      <c r="G154" s="637" t="s">
        <v>159</v>
      </c>
      <c r="H154" s="555" t="s">
        <v>164</v>
      </c>
      <c r="I154" s="555" t="s">
        <v>79</v>
      </c>
      <c r="J154" s="555" t="s">
        <v>165</v>
      </c>
      <c r="K154" s="629">
        <v>40886</v>
      </c>
      <c r="L154" s="555" t="s">
        <v>13</v>
      </c>
      <c r="M154" s="551">
        <v>3</v>
      </c>
      <c r="N154" s="556">
        <v>3</v>
      </c>
      <c r="O154" s="595">
        <v>368</v>
      </c>
      <c r="P154" s="596">
        <v>44</v>
      </c>
      <c r="Q154" s="614">
        <v>11954</v>
      </c>
      <c r="R154" s="615">
        <v>1682</v>
      </c>
      <c r="S154" s="570">
        <v>40907</v>
      </c>
    </row>
    <row r="155" spans="1:19" ht="9.75" customHeight="1">
      <c r="A155" s="229" t="s">
        <v>223</v>
      </c>
      <c r="B155" s="230">
        <v>3</v>
      </c>
      <c r="C155" s="608"/>
      <c r="D155" s="231" t="s">
        <v>292</v>
      </c>
      <c r="E155" s="598" t="s">
        <v>55</v>
      </c>
      <c r="F155" s="563"/>
      <c r="G155" s="564" t="s">
        <v>447</v>
      </c>
      <c r="H155" s="553" t="s">
        <v>461</v>
      </c>
      <c r="I155" s="553" t="s">
        <v>89</v>
      </c>
      <c r="J155" s="553" t="s">
        <v>455</v>
      </c>
      <c r="K155" s="565">
        <v>39995</v>
      </c>
      <c r="L155" s="555" t="s">
        <v>68</v>
      </c>
      <c r="M155" s="551">
        <v>209</v>
      </c>
      <c r="N155" s="621">
        <v>72</v>
      </c>
      <c r="O155" s="566">
        <v>1188</v>
      </c>
      <c r="P155" s="567">
        <v>297</v>
      </c>
      <c r="Q155" s="568">
        <f>11405777.5+385+1188+6614+2968+1417+277+2612+1424+952+1780+952+364.5+1188+1188+2852+3019.5+305+1188+286+1188</f>
        <v>11437925.5</v>
      </c>
      <c r="R155" s="569">
        <f>1424397+63+297+1638+742+364+66+653+356+238+445+238+27+297+297+713+734+61+297+71+297</f>
        <v>1432291</v>
      </c>
      <c r="S155" s="561">
        <v>40928</v>
      </c>
    </row>
    <row r="156" spans="1:19" ht="9.75" customHeight="1">
      <c r="A156" s="562"/>
      <c r="B156" s="230">
        <v>3</v>
      </c>
      <c r="C156" s="562"/>
      <c r="D156" s="571"/>
      <c r="E156" s="563"/>
      <c r="F156" s="563"/>
      <c r="G156" s="635" t="s">
        <v>72</v>
      </c>
      <c r="H156" s="551" t="s">
        <v>83</v>
      </c>
      <c r="I156" s="551" t="s">
        <v>189</v>
      </c>
      <c r="J156" s="551" t="s">
        <v>182</v>
      </c>
      <c r="K156" s="565">
        <v>40858</v>
      </c>
      <c r="L156" s="555" t="s">
        <v>8</v>
      </c>
      <c r="M156" s="551">
        <v>132</v>
      </c>
      <c r="N156" s="683">
        <v>8</v>
      </c>
      <c r="O156" s="566">
        <v>11571</v>
      </c>
      <c r="P156" s="567">
        <v>1573</v>
      </c>
      <c r="Q156" s="568">
        <v>314058</v>
      </c>
      <c r="R156" s="569">
        <v>39844</v>
      </c>
      <c r="S156" s="570">
        <v>40907</v>
      </c>
    </row>
    <row r="157" spans="1:19" ht="9.75" customHeight="1">
      <c r="A157" s="562"/>
      <c r="B157" s="230">
        <v>3</v>
      </c>
      <c r="C157" s="562"/>
      <c r="D157" s="571"/>
      <c r="E157" s="563"/>
      <c r="F157" s="572"/>
      <c r="G157" s="635" t="s">
        <v>72</v>
      </c>
      <c r="H157" s="551" t="s">
        <v>83</v>
      </c>
      <c r="I157" s="551" t="s">
        <v>189</v>
      </c>
      <c r="J157" s="551" t="s">
        <v>182</v>
      </c>
      <c r="K157" s="565">
        <v>40858</v>
      </c>
      <c r="L157" s="555" t="s">
        <v>8</v>
      </c>
      <c r="M157" s="577">
        <v>132</v>
      </c>
      <c r="N157" s="691">
        <v>9</v>
      </c>
      <c r="O157" s="579">
        <v>6952</v>
      </c>
      <c r="P157" s="580">
        <v>968</v>
      </c>
      <c r="Q157" s="581">
        <v>6001835</v>
      </c>
      <c r="R157" s="582">
        <v>539058</v>
      </c>
      <c r="S157" s="561">
        <v>40914</v>
      </c>
    </row>
    <row r="158" spans="1:19" ht="9.75" customHeight="1">
      <c r="A158" s="562"/>
      <c r="B158" s="230">
        <v>3</v>
      </c>
      <c r="C158" s="562"/>
      <c r="D158" s="571"/>
      <c r="E158" s="563"/>
      <c r="F158" s="572"/>
      <c r="G158" s="635" t="s">
        <v>72</v>
      </c>
      <c r="H158" s="551" t="s">
        <v>83</v>
      </c>
      <c r="I158" s="551" t="s">
        <v>189</v>
      </c>
      <c r="J158" s="551" t="s">
        <v>182</v>
      </c>
      <c r="K158" s="565">
        <v>40858</v>
      </c>
      <c r="L158" s="555" t="s">
        <v>8</v>
      </c>
      <c r="M158" s="551">
        <v>132</v>
      </c>
      <c r="N158" s="683">
        <v>11</v>
      </c>
      <c r="O158" s="566">
        <v>4936</v>
      </c>
      <c r="P158" s="567">
        <v>726</v>
      </c>
      <c r="Q158" s="568">
        <v>6011645</v>
      </c>
      <c r="R158" s="569">
        <v>540678</v>
      </c>
      <c r="S158" s="561">
        <v>40928</v>
      </c>
    </row>
    <row r="159" spans="1:19" ht="9.75" customHeight="1">
      <c r="A159" s="562"/>
      <c r="B159" s="230">
        <v>3</v>
      </c>
      <c r="C159" s="562"/>
      <c r="D159" s="571"/>
      <c r="E159" s="563"/>
      <c r="F159" s="572"/>
      <c r="G159" s="635" t="s">
        <v>72</v>
      </c>
      <c r="H159" s="551" t="s">
        <v>83</v>
      </c>
      <c r="I159" s="551" t="s">
        <v>189</v>
      </c>
      <c r="J159" s="551" t="s">
        <v>182</v>
      </c>
      <c r="K159" s="565">
        <v>40858</v>
      </c>
      <c r="L159" s="555" t="s">
        <v>8</v>
      </c>
      <c r="M159" s="551">
        <v>132</v>
      </c>
      <c r="N159" s="683">
        <v>10</v>
      </c>
      <c r="O159" s="684">
        <v>4875</v>
      </c>
      <c r="P159" s="685">
        <v>894</v>
      </c>
      <c r="Q159" s="568">
        <v>6004374</v>
      </c>
      <c r="R159" s="569">
        <v>539462</v>
      </c>
      <c r="S159" s="561">
        <v>40921</v>
      </c>
    </row>
    <row r="160" spans="1:19" ht="9.75" customHeight="1">
      <c r="A160" s="534"/>
      <c r="B160" s="539">
        <v>3</v>
      </c>
      <c r="C160" s="534"/>
      <c r="D160" s="527"/>
      <c r="E160" s="532"/>
      <c r="F160" s="533"/>
      <c r="G160" s="632" t="s">
        <v>72</v>
      </c>
      <c r="H160" s="551" t="s">
        <v>83</v>
      </c>
      <c r="I160" s="551" t="s">
        <v>189</v>
      </c>
      <c r="J160" s="551" t="s">
        <v>182</v>
      </c>
      <c r="K160" s="554">
        <v>40858</v>
      </c>
      <c r="L160" s="555" t="s">
        <v>8</v>
      </c>
      <c r="M160" s="551">
        <v>132</v>
      </c>
      <c r="N160" s="683">
        <v>14</v>
      </c>
      <c r="O160" s="557">
        <v>1437</v>
      </c>
      <c r="P160" s="558">
        <v>505</v>
      </c>
      <c r="Q160" s="559">
        <v>6014227</v>
      </c>
      <c r="R160" s="560">
        <v>541312</v>
      </c>
      <c r="S160" s="561">
        <v>40949</v>
      </c>
    </row>
    <row r="161" spans="1:19" ht="9.75" customHeight="1">
      <c r="A161" s="692"/>
      <c r="B161" s="686">
        <v>3</v>
      </c>
      <c r="C161" s="692"/>
      <c r="D161" s="573"/>
      <c r="E161" s="575"/>
      <c r="F161" s="574"/>
      <c r="G161" s="635" t="s">
        <v>72</v>
      </c>
      <c r="H161" s="551" t="s">
        <v>83</v>
      </c>
      <c r="I161" s="551" t="s">
        <v>189</v>
      </c>
      <c r="J161" s="551" t="s">
        <v>182</v>
      </c>
      <c r="K161" s="565">
        <v>40858</v>
      </c>
      <c r="L161" s="555" t="s">
        <v>8</v>
      </c>
      <c r="M161" s="551">
        <v>132</v>
      </c>
      <c r="N161" s="683">
        <v>13</v>
      </c>
      <c r="O161" s="566">
        <v>617</v>
      </c>
      <c r="P161" s="567">
        <v>72</v>
      </c>
      <c r="Q161" s="568">
        <v>6012790</v>
      </c>
      <c r="R161" s="569">
        <v>540807</v>
      </c>
      <c r="S161" s="561">
        <v>40942</v>
      </c>
    </row>
    <row r="162" spans="1:19" ht="9.75" customHeight="1">
      <c r="A162" s="562"/>
      <c r="B162" s="230">
        <v>3</v>
      </c>
      <c r="C162" s="562"/>
      <c r="D162" s="571"/>
      <c r="E162" s="563"/>
      <c r="F162" s="572"/>
      <c r="G162" s="635" t="s">
        <v>72</v>
      </c>
      <c r="H162" s="551" t="s">
        <v>83</v>
      </c>
      <c r="I162" s="551" t="s">
        <v>189</v>
      </c>
      <c r="J162" s="551" t="s">
        <v>182</v>
      </c>
      <c r="K162" s="565">
        <v>40858</v>
      </c>
      <c r="L162" s="555" t="s">
        <v>8</v>
      </c>
      <c r="M162" s="551">
        <v>132</v>
      </c>
      <c r="N162" s="683">
        <v>12</v>
      </c>
      <c r="O162" s="684">
        <v>528</v>
      </c>
      <c r="P162" s="685">
        <v>57</v>
      </c>
      <c r="Q162" s="649">
        <v>6012173</v>
      </c>
      <c r="R162" s="650">
        <v>540735</v>
      </c>
      <c r="S162" s="561">
        <v>40935</v>
      </c>
    </row>
    <row r="163" spans="1:19" ht="9.75" customHeight="1">
      <c r="A163" s="571"/>
      <c r="B163" s="571"/>
      <c r="C163" s="608"/>
      <c r="D163" s="231" t="s">
        <v>292</v>
      </c>
      <c r="E163" s="598" t="s">
        <v>55</v>
      </c>
      <c r="F163" s="563"/>
      <c r="G163" s="564" t="s">
        <v>442</v>
      </c>
      <c r="H163" s="553" t="s">
        <v>459</v>
      </c>
      <c r="I163" s="553" t="s">
        <v>89</v>
      </c>
      <c r="J163" s="553" t="s">
        <v>464</v>
      </c>
      <c r="K163" s="565">
        <v>39738</v>
      </c>
      <c r="L163" s="555" t="s">
        <v>68</v>
      </c>
      <c r="M163" s="551">
        <v>67</v>
      </c>
      <c r="N163" s="556">
        <v>49</v>
      </c>
      <c r="O163" s="566">
        <v>4040</v>
      </c>
      <c r="P163" s="567">
        <v>1010</v>
      </c>
      <c r="Q163" s="568">
        <f>575413.5+2968+2376+2737+2376+2376+4752+2376+952+1780+226+286+162+6416+4040</f>
        <v>609236.5</v>
      </c>
      <c r="R163" s="569">
        <f>83313+742+594+635+594+594+1188+594+238+445+36+42+39+1604+1010</f>
        <v>91668</v>
      </c>
      <c r="S163" s="561">
        <v>40928</v>
      </c>
    </row>
    <row r="164" spans="1:19" ht="9.75" customHeight="1">
      <c r="A164" s="571"/>
      <c r="B164" s="571"/>
      <c r="C164" s="608"/>
      <c r="D164" s="231" t="s">
        <v>292</v>
      </c>
      <c r="E164" s="598" t="s">
        <v>55</v>
      </c>
      <c r="F164" s="563"/>
      <c r="G164" s="564" t="s">
        <v>442</v>
      </c>
      <c r="H164" s="553" t="s">
        <v>459</v>
      </c>
      <c r="I164" s="553" t="s">
        <v>89</v>
      </c>
      <c r="J164" s="553" t="s">
        <v>464</v>
      </c>
      <c r="K164" s="565">
        <v>39738</v>
      </c>
      <c r="L164" s="555" t="s">
        <v>68</v>
      </c>
      <c r="M164" s="551">
        <v>67</v>
      </c>
      <c r="N164" s="556">
        <v>49</v>
      </c>
      <c r="O164" s="566">
        <v>1780</v>
      </c>
      <c r="P164" s="567">
        <v>356</v>
      </c>
      <c r="Q164" s="568">
        <f>575413.5+2968+2376+2737+2376+2376+4752+2376+952+1780+226+286+162+6416+4040+1780</f>
        <v>611016.5</v>
      </c>
      <c r="R164" s="569">
        <f>83313+742+594+635+594+594+1188+594+238+445+36+42+39+1604+1010+356</f>
        <v>92024</v>
      </c>
      <c r="S164" s="561">
        <v>40935</v>
      </c>
    </row>
    <row r="165" spans="1:19" ht="9.75" customHeight="1">
      <c r="A165" s="527"/>
      <c r="B165" s="527"/>
      <c r="C165" s="616"/>
      <c r="D165" s="531" t="s">
        <v>292</v>
      </c>
      <c r="E165" s="528" t="s">
        <v>55</v>
      </c>
      <c r="F165" s="532"/>
      <c r="G165" s="550" t="s">
        <v>442</v>
      </c>
      <c r="H165" s="553" t="s">
        <v>459</v>
      </c>
      <c r="I165" s="553" t="s">
        <v>89</v>
      </c>
      <c r="J165" s="553" t="s">
        <v>464</v>
      </c>
      <c r="K165" s="565">
        <v>39738</v>
      </c>
      <c r="L165" s="555" t="s">
        <v>68</v>
      </c>
      <c r="M165" s="551">
        <v>67</v>
      </c>
      <c r="N165" s="556">
        <v>2</v>
      </c>
      <c r="O165" s="566">
        <v>1780</v>
      </c>
      <c r="P165" s="567">
        <v>356</v>
      </c>
      <c r="Q165" s="568">
        <f>575413.5+2968+2376+2737+2376+2376+4752+2376+952+1780+226+286+162+6416+4040+1780+1780</f>
        <v>612796.5</v>
      </c>
      <c r="R165" s="569">
        <f>83313+742+594+635+594+594+1188+594+238+445+36+42+39+1604+1010+356+356</f>
        <v>92380</v>
      </c>
      <c r="S165" s="561">
        <v>40956</v>
      </c>
    </row>
    <row r="166" spans="1:19" ht="9.75" customHeight="1">
      <c r="A166" s="562"/>
      <c r="B166" s="562"/>
      <c r="C166" s="562"/>
      <c r="D166" s="562"/>
      <c r="E166" s="563"/>
      <c r="F166" s="563"/>
      <c r="G166" s="564" t="s">
        <v>69</v>
      </c>
      <c r="H166" s="551" t="s">
        <v>88</v>
      </c>
      <c r="I166" s="553" t="s">
        <v>89</v>
      </c>
      <c r="J166" s="552" t="s">
        <v>70</v>
      </c>
      <c r="K166" s="629">
        <v>40844</v>
      </c>
      <c r="L166" s="555" t="s">
        <v>68</v>
      </c>
      <c r="M166" s="551">
        <v>65</v>
      </c>
      <c r="N166" s="556">
        <v>10</v>
      </c>
      <c r="O166" s="566">
        <v>7426</v>
      </c>
      <c r="P166" s="567">
        <v>1233</v>
      </c>
      <c r="Q166" s="568">
        <f>436701.5+604505+232735.5+57290.5+18114+16414.5+17253.5+4587+2405+7426</f>
        <v>1397432.5</v>
      </c>
      <c r="R166" s="569">
        <f>39979+54264+21249+5324+1678+2463+2408+819+357+1233</f>
        <v>129774</v>
      </c>
      <c r="S166" s="570">
        <v>40907</v>
      </c>
    </row>
    <row r="167" spans="1:19" ht="9.75" customHeight="1">
      <c r="A167" s="527"/>
      <c r="B167" s="527"/>
      <c r="C167" s="527"/>
      <c r="D167" s="527"/>
      <c r="E167" s="533"/>
      <c r="F167" s="533"/>
      <c r="G167" s="564" t="s">
        <v>69</v>
      </c>
      <c r="H167" s="551" t="s">
        <v>88</v>
      </c>
      <c r="I167" s="553" t="s">
        <v>89</v>
      </c>
      <c r="J167" s="552" t="s">
        <v>70</v>
      </c>
      <c r="K167" s="629">
        <v>40844</v>
      </c>
      <c r="L167" s="555" t="s">
        <v>68</v>
      </c>
      <c r="M167" s="577">
        <v>65</v>
      </c>
      <c r="N167" s="590">
        <v>12</v>
      </c>
      <c r="O167" s="566">
        <v>4990</v>
      </c>
      <c r="P167" s="567">
        <v>999</v>
      </c>
      <c r="Q167" s="568">
        <f>436701.5+604505+232735.5+57290.5+18114+16414.5+17253.5+4587+2405+7426+2522+4990</f>
        <v>1404944.5</v>
      </c>
      <c r="R167" s="569">
        <f>39979+54264+21249+5324+1678+2463+2408+819+357+1233+383+999</f>
        <v>131156</v>
      </c>
      <c r="S167" s="561">
        <v>40942</v>
      </c>
    </row>
    <row r="168" spans="1:19" ht="9.75" customHeight="1">
      <c r="A168" s="527"/>
      <c r="B168" s="527"/>
      <c r="C168" s="527"/>
      <c r="D168" s="527"/>
      <c r="E168" s="533"/>
      <c r="F168" s="533"/>
      <c r="G168" s="550" t="s">
        <v>69</v>
      </c>
      <c r="H168" s="551" t="s">
        <v>88</v>
      </c>
      <c r="I168" s="553" t="s">
        <v>89</v>
      </c>
      <c r="J168" s="552" t="s">
        <v>70</v>
      </c>
      <c r="K168" s="673">
        <v>40844</v>
      </c>
      <c r="L168" s="555" t="s">
        <v>68</v>
      </c>
      <c r="M168" s="551">
        <v>65</v>
      </c>
      <c r="N168" s="556">
        <v>12</v>
      </c>
      <c r="O168" s="557">
        <v>3920.5</v>
      </c>
      <c r="P168" s="558">
        <v>784</v>
      </c>
      <c r="Q168" s="559">
        <f>436701.5+604505+232735.5+57290.5+18114+16414.5+17253.5+4587+2405+7426+2522+4990+3920.5</f>
        <v>1408865</v>
      </c>
      <c r="R168" s="560">
        <f>39979+54264+21249+5324+1678+2463+2408+819+357+1233+383+999+784</f>
        <v>131940</v>
      </c>
      <c r="S168" s="561">
        <v>40949</v>
      </c>
    </row>
    <row r="169" spans="1:19" ht="9.75" customHeight="1">
      <c r="A169" s="571"/>
      <c r="B169" s="571"/>
      <c r="C169" s="571"/>
      <c r="D169" s="571"/>
      <c r="E169" s="572"/>
      <c r="F169" s="572"/>
      <c r="G169" s="564" t="s">
        <v>69</v>
      </c>
      <c r="H169" s="551" t="s">
        <v>88</v>
      </c>
      <c r="I169" s="553" t="s">
        <v>89</v>
      </c>
      <c r="J169" s="552" t="s">
        <v>70</v>
      </c>
      <c r="K169" s="629">
        <v>40844</v>
      </c>
      <c r="L169" s="555" t="s">
        <v>68</v>
      </c>
      <c r="M169" s="577">
        <v>65</v>
      </c>
      <c r="N169" s="578">
        <v>11</v>
      </c>
      <c r="O169" s="579">
        <v>2522</v>
      </c>
      <c r="P169" s="580">
        <v>383</v>
      </c>
      <c r="Q169" s="581">
        <f>436701.5+604505+232735.5+57290.5+18114+16414.5+17253.5+4587+2405+7426+2522</f>
        <v>1399954.5</v>
      </c>
      <c r="R169" s="582">
        <f>39979+54264+21249+5324+1678+2463+2408+819+357+1233+383</f>
        <v>130157</v>
      </c>
      <c r="S169" s="561">
        <v>40914</v>
      </c>
    </row>
    <row r="170" spans="1:19" ht="9.75" customHeight="1">
      <c r="A170" s="571"/>
      <c r="B170" s="571"/>
      <c r="C170" s="608"/>
      <c r="D170" s="571"/>
      <c r="E170" s="572"/>
      <c r="F170" s="563"/>
      <c r="G170" s="564" t="s">
        <v>469</v>
      </c>
      <c r="H170" s="553" t="s">
        <v>463</v>
      </c>
      <c r="I170" s="553" t="s">
        <v>89</v>
      </c>
      <c r="J170" s="553" t="s">
        <v>457</v>
      </c>
      <c r="K170" s="565">
        <v>40837</v>
      </c>
      <c r="L170" s="555" t="s">
        <v>68</v>
      </c>
      <c r="M170" s="551">
        <v>10</v>
      </c>
      <c r="N170" s="621">
        <v>6</v>
      </c>
      <c r="O170" s="566">
        <v>519</v>
      </c>
      <c r="P170" s="567">
        <v>86</v>
      </c>
      <c r="Q170" s="568">
        <f>10225+2950+986+451+172+519</f>
        <v>15303</v>
      </c>
      <c r="R170" s="569">
        <f>1095+291+123+65+22+86</f>
        <v>1682</v>
      </c>
      <c r="S170" s="561">
        <v>40928</v>
      </c>
    </row>
    <row r="171" spans="1:19" ht="9.75" customHeight="1">
      <c r="A171" s="608"/>
      <c r="B171" s="608"/>
      <c r="C171" s="562"/>
      <c r="D171" s="562"/>
      <c r="E171" s="563"/>
      <c r="F171" s="599" t="s">
        <v>54</v>
      </c>
      <c r="G171" s="564" t="s">
        <v>625</v>
      </c>
      <c r="H171" s="551" t="s">
        <v>626</v>
      </c>
      <c r="I171" s="602"/>
      <c r="J171" s="602" t="s">
        <v>625</v>
      </c>
      <c r="K171" s="565">
        <v>40585</v>
      </c>
      <c r="L171" s="555" t="s">
        <v>68</v>
      </c>
      <c r="M171" s="602">
        <v>58</v>
      </c>
      <c r="N171" s="556">
        <v>36</v>
      </c>
      <c r="O171" s="566">
        <v>950.5</v>
      </c>
      <c r="P171" s="567">
        <v>190</v>
      </c>
      <c r="Q171" s="568">
        <f>236018+209847.25+105622+138051.5+64189.5+34454+20202.5+27754+16946+8179.5+9672.5+8494+21812+25095+12109+8066+3824+4092+15394+226700+172575.5+127465+93972+96529+77366.5+63475.5+48505.5+31769.5+29482+10986+6164+59+1093.5+1386+279+950.5</f>
        <v>1958581.25</v>
      </c>
      <c r="R171" s="569">
        <f>25731+24506+13184+19079+9581+4996+3067+4392+3122+1175+1530+1410+3175+3587+1436+923+420+447+1629+25969+20073+15455+11876+13635+10490+9269+7265+5116+4049+1598+1517+8+257+323+37+190</f>
        <v>250517</v>
      </c>
      <c r="S171" s="561">
        <v>40935</v>
      </c>
    </row>
    <row r="172" spans="1:19" ht="9.75" customHeight="1">
      <c r="A172" s="527"/>
      <c r="B172" s="527"/>
      <c r="C172" s="527"/>
      <c r="D172" s="527"/>
      <c r="E172" s="533"/>
      <c r="F172" s="532"/>
      <c r="G172" s="550" t="s">
        <v>399</v>
      </c>
      <c r="H172" s="553" t="s">
        <v>405</v>
      </c>
      <c r="I172" s="553" t="s">
        <v>89</v>
      </c>
      <c r="J172" s="553" t="s">
        <v>399</v>
      </c>
      <c r="K172" s="554">
        <v>40886</v>
      </c>
      <c r="L172" s="555" t="s">
        <v>68</v>
      </c>
      <c r="M172" s="551">
        <v>9</v>
      </c>
      <c r="N172" s="556">
        <v>6</v>
      </c>
      <c r="O172" s="557">
        <v>4115.4</v>
      </c>
      <c r="P172" s="558">
        <v>563</v>
      </c>
      <c r="Q172" s="559">
        <f>55869.5+42730+1422+522+1782+4115.4</f>
        <v>106440.9</v>
      </c>
      <c r="R172" s="560">
        <f>3902+3837+240+87+356+563</f>
        <v>8985</v>
      </c>
      <c r="S172" s="561">
        <v>40949</v>
      </c>
    </row>
    <row r="173" spans="1:19" ht="9.75" customHeight="1">
      <c r="A173" s="527"/>
      <c r="B173" s="527"/>
      <c r="C173" s="527"/>
      <c r="D173" s="527"/>
      <c r="E173" s="533"/>
      <c r="F173" s="532"/>
      <c r="G173" s="564" t="s">
        <v>399</v>
      </c>
      <c r="H173" s="553" t="s">
        <v>405</v>
      </c>
      <c r="I173" s="553"/>
      <c r="J173" s="553" t="s">
        <v>399</v>
      </c>
      <c r="K173" s="565">
        <v>40886</v>
      </c>
      <c r="L173" s="555" t="s">
        <v>68</v>
      </c>
      <c r="M173" s="551">
        <v>9</v>
      </c>
      <c r="N173" s="590">
        <v>5</v>
      </c>
      <c r="O173" s="566">
        <v>1782</v>
      </c>
      <c r="P173" s="567">
        <v>356</v>
      </c>
      <c r="Q173" s="568">
        <f>55869.5+42730+1422+522+1782</f>
        <v>102325.5</v>
      </c>
      <c r="R173" s="569">
        <f>3902+3837+240+87+356</f>
        <v>8422</v>
      </c>
      <c r="S173" s="561">
        <v>40942</v>
      </c>
    </row>
    <row r="174" spans="1:19" ht="9.75" customHeight="1">
      <c r="A174" s="571"/>
      <c r="B174" s="571"/>
      <c r="C174" s="571"/>
      <c r="D174" s="571"/>
      <c r="E174" s="572"/>
      <c r="F174" s="563"/>
      <c r="G174" s="564" t="s">
        <v>399</v>
      </c>
      <c r="H174" s="553" t="s">
        <v>405</v>
      </c>
      <c r="I174" s="553" t="s">
        <v>89</v>
      </c>
      <c r="J174" s="553" t="s">
        <v>399</v>
      </c>
      <c r="K174" s="565">
        <v>40886</v>
      </c>
      <c r="L174" s="555" t="s">
        <v>68</v>
      </c>
      <c r="M174" s="551">
        <v>9</v>
      </c>
      <c r="N174" s="556">
        <v>3</v>
      </c>
      <c r="O174" s="566">
        <v>1422</v>
      </c>
      <c r="P174" s="567">
        <v>240</v>
      </c>
      <c r="Q174" s="568">
        <f>55869.5+42730+1422</f>
        <v>100021.5</v>
      </c>
      <c r="R174" s="569">
        <f>3902+3837+240</f>
        <v>7979</v>
      </c>
      <c r="S174" s="561">
        <v>40921</v>
      </c>
    </row>
    <row r="175" spans="1:19" ht="9.75" customHeight="1">
      <c r="A175" s="571"/>
      <c r="B175" s="571"/>
      <c r="C175" s="571"/>
      <c r="D175" s="571"/>
      <c r="E175" s="572"/>
      <c r="F175" s="563"/>
      <c r="G175" s="564" t="s">
        <v>399</v>
      </c>
      <c r="H175" s="553" t="s">
        <v>405</v>
      </c>
      <c r="I175" s="553"/>
      <c r="J175" s="553" t="s">
        <v>399</v>
      </c>
      <c r="K175" s="565">
        <v>40886</v>
      </c>
      <c r="L175" s="555" t="s">
        <v>68</v>
      </c>
      <c r="M175" s="551">
        <v>9</v>
      </c>
      <c r="N175" s="556">
        <v>3</v>
      </c>
      <c r="O175" s="566">
        <v>522</v>
      </c>
      <c r="P175" s="567">
        <v>87</v>
      </c>
      <c r="Q175" s="568">
        <f>55869.5+42730+1422+522</f>
        <v>100543.5</v>
      </c>
      <c r="R175" s="569">
        <f>3902+3837+240+87</f>
        <v>8066</v>
      </c>
      <c r="S175" s="561">
        <v>40928</v>
      </c>
    </row>
    <row r="176" spans="1:19" ht="9.75" customHeight="1">
      <c r="A176" s="571"/>
      <c r="B176" s="571"/>
      <c r="C176" s="571"/>
      <c r="D176" s="571"/>
      <c r="E176" s="572"/>
      <c r="F176" s="572"/>
      <c r="G176" s="635" t="s">
        <v>258</v>
      </c>
      <c r="H176" s="555" t="s">
        <v>259</v>
      </c>
      <c r="I176" s="555" t="s">
        <v>260</v>
      </c>
      <c r="J176" s="555" t="s">
        <v>239</v>
      </c>
      <c r="K176" s="565">
        <v>40725</v>
      </c>
      <c r="L176" s="555" t="s">
        <v>13</v>
      </c>
      <c r="M176" s="577">
        <v>3</v>
      </c>
      <c r="N176" s="590">
        <v>20</v>
      </c>
      <c r="O176" s="591">
        <v>2970</v>
      </c>
      <c r="P176" s="592">
        <v>594</v>
      </c>
      <c r="Q176" s="593">
        <v>65729</v>
      </c>
      <c r="R176" s="594">
        <v>8049</v>
      </c>
      <c r="S176" s="561">
        <v>40914</v>
      </c>
    </row>
    <row r="177" spans="1:19" ht="9.75" customHeight="1">
      <c r="A177" s="571"/>
      <c r="B177" s="571"/>
      <c r="C177" s="562"/>
      <c r="D177" s="571"/>
      <c r="E177" s="563"/>
      <c r="F177" s="563"/>
      <c r="G177" s="635" t="s">
        <v>258</v>
      </c>
      <c r="H177" s="555" t="s">
        <v>259</v>
      </c>
      <c r="I177" s="555" t="s">
        <v>260</v>
      </c>
      <c r="J177" s="555" t="s">
        <v>239</v>
      </c>
      <c r="K177" s="565">
        <v>40725</v>
      </c>
      <c r="L177" s="555" t="s">
        <v>13</v>
      </c>
      <c r="M177" s="636">
        <v>3</v>
      </c>
      <c r="N177" s="556">
        <v>19</v>
      </c>
      <c r="O177" s="595">
        <v>1188</v>
      </c>
      <c r="P177" s="596">
        <v>237</v>
      </c>
      <c r="Q177" s="614">
        <v>62759</v>
      </c>
      <c r="R177" s="615">
        <v>7455</v>
      </c>
      <c r="S177" s="570">
        <v>40907</v>
      </c>
    </row>
    <row r="178" spans="1:19" ht="9.75" customHeight="1">
      <c r="A178" s="562"/>
      <c r="B178" s="571"/>
      <c r="C178" s="571"/>
      <c r="D178" s="231" t="s">
        <v>292</v>
      </c>
      <c r="E178" s="571"/>
      <c r="F178" s="572"/>
      <c r="G178" s="584" t="s">
        <v>385</v>
      </c>
      <c r="H178" s="551" t="s">
        <v>83</v>
      </c>
      <c r="I178" s="585" t="s">
        <v>94</v>
      </c>
      <c r="J178" s="585" t="s">
        <v>390</v>
      </c>
      <c r="K178" s="565">
        <v>40844</v>
      </c>
      <c r="L178" s="555" t="s">
        <v>12</v>
      </c>
      <c r="M178" s="551">
        <v>41</v>
      </c>
      <c r="N178" s="556">
        <v>13</v>
      </c>
      <c r="O178" s="595">
        <v>1678</v>
      </c>
      <c r="P178" s="596">
        <v>236</v>
      </c>
      <c r="Q178" s="614">
        <v>514931</v>
      </c>
      <c r="R178" s="615">
        <v>42338</v>
      </c>
      <c r="S178" s="561">
        <v>40935</v>
      </c>
    </row>
    <row r="179" spans="1:19" ht="9.75" customHeight="1">
      <c r="A179" s="562"/>
      <c r="B179" s="571"/>
      <c r="C179" s="571"/>
      <c r="D179" s="231" t="s">
        <v>292</v>
      </c>
      <c r="E179" s="571"/>
      <c r="F179" s="572"/>
      <c r="G179" s="584" t="s">
        <v>385</v>
      </c>
      <c r="H179" s="551" t="s">
        <v>83</v>
      </c>
      <c r="I179" s="585" t="s">
        <v>94</v>
      </c>
      <c r="J179" s="585" t="s">
        <v>390</v>
      </c>
      <c r="K179" s="565">
        <v>40844</v>
      </c>
      <c r="L179" s="555" t="s">
        <v>12</v>
      </c>
      <c r="M179" s="551">
        <v>41</v>
      </c>
      <c r="N179" s="556">
        <v>12</v>
      </c>
      <c r="O179" s="595">
        <v>1192</v>
      </c>
      <c r="P179" s="596">
        <v>188</v>
      </c>
      <c r="Q179" s="620">
        <v>513253</v>
      </c>
      <c r="R179" s="589">
        <v>42102</v>
      </c>
      <c r="S179" s="561">
        <v>40921</v>
      </c>
    </row>
    <row r="180" spans="1:19" ht="9.75" customHeight="1">
      <c r="A180" s="692"/>
      <c r="B180" s="573"/>
      <c r="C180" s="573"/>
      <c r="D180" s="625" t="s">
        <v>292</v>
      </c>
      <c r="E180" s="573"/>
      <c r="F180" s="574"/>
      <c r="G180" s="584" t="s">
        <v>385</v>
      </c>
      <c r="H180" s="551" t="s">
        <v>83</v>
      </c>
      <c r="I180" s="585" t="s">
        <v>94</v>
      </c>
      <c r="J180" s="585" t="s">
        <v>390</v>
      </c>
      <c r="K180" s="565">
        <v>40844</v>
      </c>
      <c r="L180" s="555" t="s">
        <v>12</v>
      </c>
      <c r="M180" s="551">
        <v>41</v>
      </c>
      <c r="N180" s="556">
        <v>14</v>
      </c>
      <c r="O180" s="595">
        <v>136</v>
      </c>
      <c r="P180" s="596">
        <v>17</v>
      </c>
      <c r="Q180" s="614">
        <v>515067</v>
      </c>
      <c r="R180" s="615">
        <v>42355</v>
      </c>
      <c r="S180" s="561">
        <v>40942</v>
      </c>
    </row>
    <row r="181" spans="1:19" ht="9.75" customHeight="1">
      <c r="A181" s="571"/>
      <c r="B181" s="571"/>
      <c r="C181" s="571"/>
      <c r="D181" s="571"/>
      <c r="E181" s="572"/>
      <c r="F181" s="599" t="s">
        <v>54</v>
      </c>
      <c r="G181" s="564" t="s">
        <v>353</v>
      </c>
      <c r="H181" s="553" t="s">
        <v>364</v>
      </c>
      <c r="I181" s="552"/>
      <c r="J181" s="553" t="s">
        <v>353</v>
      </c>
      <c r="K181" s="565">
        <v>40676</v>
      </c>
      <c r="L181" s="555" t="s">
        <v>68</v>
      </c>
      <c r="M181" s="577">
        <v>10</v>
      </c>
      <c r="N181" s="578">
        <v>20</v>
      </c>
      <c r="O181" s="579">
        <v>3801.5</v>
      </c>
      <c r="P181" s="580">
        <v>950</v>
      </c>
      <c r="Q181" s="581">
        <f>19776.5+5289.5+3941.5+4149+6030.5+491+2263+886+669+235+576+182+578+116+1188+1782+1782+1782+1782+3801.5</f>
        <v>57300.5</v>
      </c>
      <c r="R181" s="582">
        <f>2214+710+772+646+1024+103+434+139+105+46+100+16+62+13+297+446+446+446+446+950</f>
        <v>9415</v>
      </c>
      <c r="S181" s="561">
        <v>40914</v>
      </c>
    </row>
    <row r="182" spans="1:19" ht="9.75" customHeight="1">
      <c r="A182" s="571"/>
      <c r="B182" s="571"/>
      <c r="C182" s="571"/>
      <c r="D182" s="571"/>
      <c r="E182" s="572"/>
      <c r="F182" s="599" t="s">
        <v>54</v>
      </c>
      <c r="G182" s="564" t="s">
        <v>353</v>
      </c>
      <c r="H182" s="553" t="s">
        <v>364</v>
      </c>
      <c r="I182" s="552"/>
      <c r="J182" s="553" t="s">
        <v>353</v>
      </c>
      <c r="K182" s="565">
        <v>40676</v>
      </c>
      <c r="L182" s="555" t="s">
        <v>68</v>
      </c>
      <c r="M182" s="551">
        <v>10</v>
      </c>
      <c r="N182" s="556">
        <v>20</v>
      </c>
      <c r="O182" s="566">
        <v>2138.5</v>
      </c>
      <c r="P182" s="567">
        <v>535</v>
      </c>
      <c r="Q182" s="568">
        <f>19776.5+5289.5+3941.5+4149+6030.5+491+2263+886+669+235+576+182+578+116+1188+1782+1782+1782+1782+3801.5+2138.5</f>
        <v>59439</v>
      </c>
      <c r="R182" s="569">
        <f>2214+710+772+646+1024+103+434+139+105+46+100+16+62+13+297+446+446+446+446+950+535</f>
        <v>9950</v>
      </c>
      <c r="S182" s="561">
        <v>40921</v>
      </c>
    </row>
    <row r="183" spans="1:19" ht="9.75" customHeight="1">
      <c r="A183" s="571"/>
      <c r="B183" s="571"/>
      <c r="C183" s="571"/>
      <c r="D183" s="571"/>
      <c r="E183" s="598" t="s">
        <v>55</v>
      </c>
      <c r="F183" s="563"/>
      <c r="G183" s="564" t="s">
        <v>368</v>
      </c>
      <c r="H183" s="553" t="s">
        <v>367</v>
      </c>
      <c r="I183" s="553" t="s">
        <v>128</v>
      </c>
      <c r="J183" s="553" t="s">
        <v>363</v>
      </c>
      <c r="K183" s="565">
        <v>40746</v>
      </c>
      <c r="L183" s="555" t="s">
        <v>68</v>
      </c>
      <c r="M183" s="551">
        <v>1</v>
      </c>
      <c r="N183" s="556">
        <v>8</v>
      </c>
      <c r="O183" s="566">
        <v>2138.5</v>
      </c>
      <c r="P183" s="567">
        <v>535</v>
      </c>
      <c r="Q183" s="568">
        <f>5298+3611+922.5+907+181+268.5+2138.5+2138.5+2138.5</f>
        <v>17603.5</v>
      </c>
      <c r="R183" s="569">
        <f>334+225+67+122+18+21+535+535+535</f>
        <v>2392</v>
      </c>
      <c r="S183" s="561">
        <v>40921</v>
      </c>
    </row>
    <row r="184" spans="1:19" ht="9.75" customHeight="1">
      <c r="A184" s="571"/>
      <c r="B184" s="571"/>
      <c r="C184" s="571"/>
      <c r="D184" s="571"/>
      <c r="E184" s="598" t="s">
        <v>55</v>
      </c>
      <c r="F184" s="563"/>
      <c r="G184" s="564" t="s">
        <v>368</v>
      </c>
      <c r="H184" s="553" t="s">
        <v>367</v>
      </c>
      <c r="I184" s="553" t="s">
        <v>128</v>
      </c>
      <c r="J184" s="553" t="s">
        <v>363</v>
      </c>
      <c r="K184" s="565">
        <v>40746</v>
      </c>
      <c r="L184" s="555" t="s">
        <v>68</v>
      </c>
      <c r="M184" s="577">
        <v>1</v>
      </c>
      <c r="N184" s="578">
        <v>8</v>
      </c>
      <c r="O184" s="579">
        <v>2138.5</v>
      </c>
      <c r="P184" s="580">
        <v>535</v>
      </c>
      <c r="Q184" s="581">
        <f>5298+3611+922.5+907+181+268.5+2138.5+2138.5</f>
        <v>15465</v>
      </c>
      <c r="R184" s="582">
        <f>334+225+67+122+18+21+535+535</f>
        <v>1857</v>
      </c>
      <c r="S184" s="561">
        <v>40914</v>
      </c>
    </row>
    <row r="185" spans="1:19" ht="9.75" customHeight="1">
      <c r="A185" s="571"/>
      <c r="B185" s="571"/>
      <c r="C185" s="571"/>
      <c r="D185" s="571"/>
      <c r="E185" s="598" t="s">
        <v>55</v>
      </c>
      <c r="F185" s="563"/>
      <c r="G185" s="564" t="s">
        <v>368</v>
      </c>
      <c r="H185" s="553" t="s">
        <v>367</v>
      </c>
      <c r="I185" s="553" t="s">
        <v>128</v>
      </c>
      <c r="J185" s="553" t="s">
        <v>363</v>
      </c>
      <c r="K185" s="565">
        <v>40746</v>
      </c>
      <c r="L185" s="555" t="s">
        <v>68</v>
      </c>
      <c r="M185" s="551">
        <v>1</v>
      </c>
      <c r="N185" s="556">
        <v>8</v>
      </c>
      <c r="O185" s="566">
        <v>2138.5</v>
      </c>
      <c r="P185" s="567">
        <v>535</v>
      </c>
      <c r="Q185" s="568">
        <f>5298+3611+922.5+907+181+268.5+2138.5+2138.5+2138.5+2138.5</f>
        <v>19742</v>
      </c>
      <c r="R185" s="569">
        <f>334+225+67+122+18+21+535+535+535+535</f>
        <v>2927</v>
      </c>
      <c r="S185" s="561">
        <v>40928</v>
      </c>
    </row>
    <row r="186" spans="1:19" ht="9.75" customHeight="1">
      <c r="A186" s="571"/>
      <c r="B186" s="571"/>
      <c r="C186" s="571"/>
      <c r="D186" s="571"/>
      <c r="E186" s="572"/>
      <c r="F186" s="599" t="s">
        <v>54</v>
      </c>
      <c r="G186" s="564" t="s">
        <v>398</v>
      </c>
      <c r="H186" s="553" t="s">
        <v>218</v>
      </c>
      <c r="I186" s="553"/>
      <c r="J186" s="553" t="s">
        <v>398</v>
      </c>
      <c r="K186" s="565">
        <v>40627</v>
      </c>
      <c r="L186" s="555" t="s">
        <v>68</v>
      </c>
      <c r="M186" s="551">
        <v>137</v>
      </c>
      <c r="N186" s="556">
        <v>25</v>
      </c>
      <c r="O186" s="566">
        <v>3801.5</v>
      </c>
      <c r="P186" s="567">
        <v>950</v>
      </c>
      <c r="Q186" s="568">
        <f>1066061.5+1061275+813239.75+606216+468367.5+266511+137274.5+89937.5+9478+4671.5+2215.5+593.5+2273.5+2234+1858+10514.5+2603+2122+2001+349+713+2613.5+475.5+3801.5</f>
        <v>4557399.75</v>
      </c>
      <c r="R186" s="569">
        <f>110278+106719+82858+62672+50883+32012+17904+13463+1427+637+352+91+261+268+240+2410+402+325+272+26+178+653+109+950</f>
        <v>485390</v>
      </c>
      <c r="S186" s="561">
        <v>40921</v>
      </c>
    </row>
    <row r="187" spans="1:19" ht="9.75" customHeight="1">
      <c r="A187" s="527"/>
      <c r="B187" s="527"/>
      <c r="C187" s="527"/>
      <c r="D187" s="527"/>
      <c r="E187" s="533"/>
      <c r="F187" s="529" t="s">
        <v>54</v>
      </c>
      <c r="G187" s="550" t="s">
        <v>398</v>
      </c>
      <c r="H187" s="553" t="s">
        <v>218</v>
      </c>
      <c r="I187" s="553"/>
      <c r="J187" s="553" t="s">
        <v>398</v>
      </c>
      <c r="K187" s="554">
        <v>40627</v>
      </c>
      <c r="L187" s="555" t="s">
        <v>68</v>
      </c>
      <c r="M187" s="551">
        <v>137</v>
      </c>
      <c r="N187" s="556">
        <v>25</v>
      </c>
      <c r="O187" s="557">
        <v>950</v>
      </c>
      <c r="P187" s="558">
        <v>190</v>
      </c>
      <c r="Q187" s="559">
        <f>1066061.5+1061275+813239.75+606216+468367.5+266511+137274.5+89937.5+9478+4671.5+2215.5+593.5+2273.5+2234+1858+10514.5+2603+2122+2001+349+713+2613.5+475.5+3801.5+950</f>
        <v>4558349.75</v>
      </c>
      <c r="R187" s="560">
        <f>110278+106719+82858+62672+50883+32012+17904+13463+1427+637+352+91+261+268+240+2410+402+325+272+26+178+653+109+950+190</f>
        <v>485580</v>
      </c>
      <c r="S187" s="561">
        <v>40949</v>
      </c>
    </row>
    <row r="188" spans="1:19" ht="9.75" customHeight="1">
      <c r="A188" s="229" t="s">
        <v>223</v>
      </c>
      <c r="B188" s="571"/>
      <c r="C188" s="571"/>
      <c r="D188" s="231" t="s">
        <v>292</v>
      </c>
      <c r="E188" s="598" t="s">
        <v>55</v>
      </c>
      <c r="F188" s="572"/>
      <c r="G188" s="584" t="s">
        <v>103</v>
      </c>
      <c r="H188" s="551" t="s">
        <v>91</v>
      </c>
      <c r="I188" s="585" t="s">
        <v>94</v>
      </c>
      <c r="J188" s="585" t="s">
        <v>103</v>
      </c>
      <c r="K188" s="565">
        <v>40704</v>
      </c>
      <c r="L188" s="555" t="s">
        <v>12</v>
      </c>
      <c r="M188" s="577">
        <v>144</v>
      </c>
      <c r="N188" s="590">
        <v>31</v>
      </c>
      <c r="O188" s="591">
        <v>1197</v>
      </c>
      <c r="P188" s="592">
        <v>189</v>
      </c>
      <c r="Q188" s="593">
        <v>3760800</v>
      </c>
      <c r="R188" s="594">
        <v>344761</v>
      </c>
      <c r="S188" s="561">
        <v>40914</v>
      </c>
    </row>
    <row r="189" spans="1:19" ht="9.75" customHeight="1">
      <c r="A189" s="229" t="s">
        <v>223</v>
      </c>
      <c r="B189" s="571"/>
      <c r="C189" s="571"/>
      <c r="D189" s="231" t="s">
        <v>292</v>
      </c>
      <c r="E189" s="598" t="s">
        <v>55</v>
      </c>
      <c r="F189" s="572"/>
      <c r="G189" s="584" t="s">
        <v>103</v>
      </c>
      <c r="H189" s="551" t="s">
        <v>91</v>
      </c>
      <c r="I189" s="585" t="s">
        <v>94</v>
      </c>
      <c r="J189" s="585" t="s">
        <v>103</v>
      </c>
      <c r="K189" s="565">
        <v>40704</v>
      </c>
      <c r="L189" s="555" t="s">
        <v>12</v>
      </c>
      <c r="M189" s="551">
        <v>144</v>
      </c>
      <c r="N189" s="556">
        <v>33</v>
      </c>
      <c r="O189" s="595">
        <v>1197</v>
      </c>
      <c r="P189" s="596">
        <v>189</v>
      </c>
      <c r="Q189" s="614">
        <v>3761997</v>
      </c>
      <c r="R189" s="615">
        <v>344950</v>
      </c>
      <c r="S189" s="561">
        <v>40928</v>
      </c>
    </row>
    <row r="190" spans="1:19" ht="9.75" customHeight="1">
      <c r="A190" s="229" t="s">
        <v>223</v>
      </c>
      <c r="B190" s="562"/>
      <c r="C190" s="562"/>
      <c r="D190" s="231" t="s">
        <v>292</v>
      </c>
      <c r="E190" s="598" t="s">
        <v>55</v>
      </c>
      <c r="F190" s="583"/>
      <c r="G190" s="584" t="s">
        <v>103</v>
      </c>
      <c r="H190" s="551" t="s">
        <v>91</v>
      </c>
      <c r="I190" s="585" t="s">
        <v>94</v>
      </c>
      <c r="J190" s="585" t="s">
        <v>103</v>
      </c>
      <c r="K190" s="629">
        <v>40704</v>
      </c>
      <c r="L190" s="555" t="s">
        <v>12</v>
      </c>
      <c r="M190" s="551">
        <v>144</v>
      </c>
      <c r="N190" s="556">
        <v>30</v>
      </c>
      <c r="O190" s="618">
        <v>45</v>
      </c>
      <c r="P190" s="619">
        <v>9</v>
      </c>
      <c r="Q190" s="620">
        <v>3759603</v>
      </c>
      <c r="R190" s="589">
        <v>344572</v>
      </c>
      <c r="S190" s="570">
        <v>40907</v>
      </c>
    </row>
    <row r="191" spans="1:19" ht="9.75" customHeight="1">
      <c r="A191" s="571"/>
      <c r="B191" s="571"/>
      <c r="C191" s="571"/>
      <c r="D191" s="571"/>
      <c r="E191" s="572"/>
      <c r="F191" s="599" t="s">
        <v>54</v>
      </c>
      <c r="G191" s="584" t="s">
        <v>347</v>
      </c>
      <c r="H191" s="551" t="s">
        <v>348</v>
      </c>
      <c r="I191" s="585" t="s">
        <v>94</v>
      </c>
      <c r="J191" s="585" t="s">
        <v>347</v>
      </c>
      <c r="K191" s="565">
        <v>40914</v>
      </c>
      <c r="L191" s="555" t="s">
        <v>12</v>
      </c>
      <c r="M191" s="577">
        <v>204</v>
      </c>
      <c r="N191" s="590">
        <v>1</v>
      </c>
      <c r="O191" s="591">
        <v>1571916</v>
      </c>
      <c r="P191" s="592">
        <v>166869</v>
      </c>
      <c r="Q191" s="593">
        <v>1571916</v>
      </c>
      <c r="R191" s="594">
        <v>166869</v>
      </c>
      <c r="S191" s="561">
        <v>40914</v>
      </c>
    </row>
    <row r="192" spans="1:19" ht="9.75" customHeight="1">
      <c r="A192" s="571"/>
      <c r="B192" s="571"/>
      <c r="C192" s="571"/>
      <c r="D192" s="571"/>
      <c r="E192" s="572"/>
      <c r="F192" s="599" t="s">
        <v>54</v>
      </c>
      <c r="G192" s="584" t="s">
        <v>347</v>
      </c>
      <c r="H192" s="551" t="s">
        <v>348</v>
      </c>
      <c r="I192" s="585" t="s">
        <v>94</v>
      </c>
      <c r="J192" s="585" t="s">
        <v>347</v>
      </c>
      <c r="K192" s="565">
        <v>40914</v>
      </c>
      <c r="L192" s="555" t="s">
        <v>12</v>
      </c>
      <c r="M192" s="551">
        <v>204</v>
      </c>
      <c r="N192" s="556">
        <v>2</v>
      </c>
      <c r="O192" s="595">
        <v>1545867</v>
      </c>
      <c r="P192" s="596">
        <v>166896</v>
      </c>
      <c r="Q192" s="620">
        <v>3117783</v>
      </c>
      <c r="R192" s="589">
        <v>333765</v>
      </c>
      <c r="S192" s="561">
        <v>40921</v>
      </c>
    </row>
    <row r="193" spans="1:19" ht="9.75" customHeight="1">
      <c r="A193" s="608"/>
      <c r="B193" s="608"/>
      <c r="C193" s="571"/>
      <c r="D193" s="608"/>
      <c r="E193" s="572"/>
      <c r="F193" s="563"/>
      <c r="G193" s="637" t="s">
        <v>378</v>
      </c>
      <c r="H193" s="551" t="s">
        <v>377</v>
      </c>
      <c r="I193" s="555" t="s">
        <v>248</v>
      </c>
      <c r="J193" s="555" t="s">
        <v>379</v>
      </c>
      <c r="K193" s="565">
        <v>40893</v>
      </c>
      <c r="L193" s="555" t="s">
        <v>332</v>
      </c>
      <c r="M193" s="551">
        <v>8</v>
      </c>
      <c r="N193" s="556">
        <v>4</v>
      </c>
      <c r="O193" s="595">
        <v>10431.5</v>
      </c>
      <c r="P193" s="596">
        <v>1186</v>
      </c>
      <c r="Q193" s="614">
        <v>34975.5</v>
      </c>
      <c r="R193" s="615">
        <v>3096</v>
      </c>
      <c r="S193" s="561">
        <v>40928</v>
      </c>
    </row>
    <row r="194" spans="1:19" ht="9.75" customHeight="1">
      <c r="A194" s="608"/>
      <c r="B194" s="608"/>
      <c r="C194" s="571"/>
      <c r="D194" s="608"/>
      <c r="E194" s="572"/>
      <c r="F194" s="563"/>
      <c r="G194" s="637" t="s">
        <v>378</v>
      </c>
      <c r="H194" s="551" t="s">
        <v>377</v>
      </c>
      <c r="I194" s="555" t="s">
        <v>248</v>
      </c>
      <c r="J194" s="555" t="s">
        <v>379</v>
      </c>
      <c r="K194" s="565">
        <v>40893</v>
      </c>
      <c r="L194" s="555" t="s">
        <v>332</v>
      </c>
      <c r="M194" s="551">
        <v>8</v>
      </c>
      <c r="N194" s="556">
        <v>5</v>
      </c>
      <c r="O194" s="678">
        <v>1134</v>
      </c>
      <c r="P194" s="679">
        <v>110</v>
      </c>
      <c r="Q194" s="680">
        <v>36109.5</v>
      </c>
      <c r="R194" s="681">
        <v>3206</v>
      </c>
      <c r="S194" s="561">
        <v>40935</v>
      </c>
    </row>
    <row r="195" spans="1:19" ht="9.75" customHeight="1">
      <c r="A195" s="608"/>
      <c r="B195" s="608"/>
      <c r="C195" s="571"/>
      <c r="D195" s="608"/>
      <c r="E195" s="572"/>
      <c r="F195" s="563"/>
      <c r="G195" s="637" t="s">
        <v>378</v>
      </c>
      <c r="H195" s="551" t="s">
        <v>377</v>
      </c>
      <c r="I195" s="555" t="s">
        <v>248</v>
      </c>
      <c r="J195" s="555" t="s">
        <v>379</v>
      </c>
      <c r="K195" s="565">
        <v>40893</v>
      </c>
      <c r="L195" s="555" t="s">
        <v>332</v>
      </c>
      <c r="M195" s="551">
        <v>8</v>
      </c>
      <c r="N195" s="556">
        <v>3</v>
      </c>
      <c r="O195" s="595">
        <v>113</v>
      </c>
      <c r="P195" s="596">
        <v>14</v>
      </c>
      <c r="Q195" s="614">
        <v>24528</v>
      </c>
      <c r="R195" s="615">
        <v>1908</v>
      </c>
      <c r="S195" s="561">
        <v>40921</v>
      </c>
    </row>
    <row r="196" spans="1:19" ht="9.75" customHeight="1">
      <c r="A196" s="571"/>
      <c r="B196" s="571"/>
      <c r="C196" s="571"/>
      <c r="D196" s="571"/>
      <c r="E196" s="572"/>
      <c r="F196" s="572"/>
      <c r="G196" s="564" t="s">
        <v>224</v>
      </c>
      <c r="H196" s="551" t="s">
        <v>193</v>
      </c>
      <c r="I196" s="552" t="s">
        <v>128</v>
      </c>
      <c r="J196" s="553" t="s">
        <v>191</v>
      </c>
      <c r="K196" s="629">
        <v>40907</v>
      </c>
      <c r="L196" s="555" t="s">
        <v>68</v>
      </c>
      <c r="M196" s="577">
        <v>19</v>
      </c>
      <c r="N196" s="578">
        <v>2</v>
      </c>
      <c r="O196" s="579">
        <v>115157</v>
      </c>
      <c r="P196" s="580">
        <v>8628</v>
      </c>
      <c r="Q196" s="581">
        <f>108631+115157</f>
        <v>223788</v>
      </c>
      <c r="R196" s="582">
        <f>8552+8628</f>
        <v>17180</v>
      </c>
      <c r="S196" s="561">
        <v>40914</v>
      </c>
    </row>
    <row r="197" spans="1:19" ht="9.75" customHeight="1">
      <c r="A197" s="562"/>
      <c r="B197" s="562"/>
      <c r="C197" s="562"/>
      <c r="D197" s="562"/>
      <c r="E197" s="563"/>
      <c r="F197" s="563"/>
      <c r="G197" s="564" t="s">
        <v>224</v>
      </c>
      <c r="H197" s="551" t="s">
        <v>193</v>
      </c>
      <c r="I197" s="552" t="s">
        <v>128</v>
      </c>
      <c r="J197" s="553" t="s">
        <v>191</v>
      </c>
      <c r="K197" s="629">
        <v>41273</v>
      </c>
      <c r="L197" s="555" t="s">
        <v>68</v>
      </c>
      <c r="M197" s="551">
        <v>19</v>
      </c>
      <c r="N197" s="556">
        <v>1</v>
      </c>
      <c r="O197" s="566">
        <v>108199</v>
      </c>
      <c r="P197" s="567">
        <v>8513</v>
      </c>
      <c r="Q197" s="568">
        <f>108199</f>
        <v>108199</v>
      </c>
      <c r="R197" s="569">
        <f>8513</f>
        <v>8513</v>
      </c>
      <c r="S197" s="570">
        <v>40907</v>
      </c>
    </row>
    <row r="198" spans="1:19" ht="9.75" customHeight="1">
      <c r="A198" s="571"/>
      <c r="B198" s="571"/>
      <c r="C198" s="571"/>
      <c r="D198" s="571"/>
      <c r="E198" s="572"/>
      <c r="F198" s="572"/>
      <c r="G198" s="564" t="s">
        <v>224</v>
      </c>
      <c r="H198" s="551" t="s">
        <v>193</v>
      </c>
      <c r="I198" s="552" t="s">
        <v>128</v>
      </c>
      <c r="J198" s="553" t="s">
        <v>191</v>
      </c>
      <c r="K198" s="629">
        <v>40907</v>
      </c>
      <c r="L198" s="555" t="s">
        <v>68</v>
      </c>
      <c r="M198" s="551">
        <v>19</v>
      </c>
      <c r="N198" s="556">
        <v>3</v>
      </c>
      <c r="O198" s="566">
        <v>28332.5</v>
      </c>
      <c r="P198" s="567">
        <v>2468</v>
      </c>
      <c r="Q198" s="568">
        <f>108631+115157+28332.5</f>
        <v>252120.5</v>
      </c>
      <c r="R198" s="569">
        <f>8552+8628+2468</f>
        <v>19648</v>
      </c>
      <c r="S198" s="561">
        <v>40921</v>
      </c>
    </row>
    <row r="199" spans="1:19" ht="9.75" customHeight="1">
      <c r="A199" s="562"/>
      <c r="B199" s="562"/>
      <c r="C199" s="562"/>
      <c r="D199" s="562"/>
      <c r="E199" s="563"/>
      <c r="F199" s="599" t="s">
        <v>54</v>
      </c>
      <c r="G199" s="564" t="s">
        <v>151</v>
      </c>
      <c r="H199" s="551" t="s">
        <v>218</v>
      </c>
      <c r="I199" s="552" t="s">
        <v>89</v>
      </c>
      <c r="J199" s="553" t="s">
        <v>151</v>
      </c>
      <c r="K199" s="565">
        <v>40900</v>
      </c>
      <c r="L199" s="555" t="s">
        <v>68</v>
      </c>
      <c r="M199" s="551">
        <v>197</v>
      </c>
      <c r="N199" s="556">
        <v>2</v>
      </c>
      <c r="O199" s="566">
        <v>656291</v>
      </c>
      <c r="P199" s="567">
        <v>73110</v>
      </c>
      <c r="Q199" s="568">
        <f>985836.5+656291</f>
        <v>1642127.5</v>
      </c>
      <c r="R199" s="569">
        <f>106718+73110</f>
        <v>179828</v>
      </c>
      <c r="S199" s="570">
        <v>40907</v>
      </c>
    </row>
    <row r="200" spans="1:19" ht="9.75" customHeight="1">
      <c r="A200" s="571"/>
      <c r="B200" s="571"/>
      <c r="C200" s="571"/>
      <c r="D200" s="562"/>
      <c r="E200" s="572"/>
      <c r="F200" s="599" t="s">
        <v>54</v>
      </c>
      <c r="G200" s="564" t="s">
        <v>151</v>
      </c>
      <c r="H200" s="551" t="s">
        <v>218</v>
      </c>
      <c r="I200" s="552" t="s">
        <v>89</v>
      </c>
      <c r="J200" s="553" t="s">
        <v>151</v>
      </c>
      <c r="K200" s="565">
        <v>40900</v>
      </c>
      <c r="L200" s="555" t="s">
        <v>68</v>
      </c>
      <c r="M200" s="577">
        <v>197</v>
      </c>
      <c r="N200" s="578">
        <v>3</v>
      </c>
      <c r="O200" s="579">
        <v>454728.5</v>
      </c>
      <c r="P200" s="580">
        <v>50608</v>
      </c>
      <c r="Q200" s="581">
        <f>985836.5+657011.5+454728.5</f>
        <v>2097576.5</v>
      </c>
      <c r="R200" s="582">
        <f>106718+73176+50608</f>
        <v>230502</v>
      </c>
      <c r="S200" s="561">
        <v>40914</v>
      </c>
    </row>
    <row r="201" spans="1:19" ht="9.75" customHeight="1">
      <c r="A201" s="571"/>
      <c r="B201" s="571"/>
      <c r="C201" s="571"/>
      <c r="D201" s="562"/>
      <c r="E201" s="572"/>
      <c r="F201" s="599" t="s">
        <v>54</v>
      </c>
      <c r="G201" s="564" t="s">
        <v>151</v>
      </c>
      <c r="H201" s="551" t="s">
        <v>218</v>
      </c>
      <c r="I201" s="552" t="s">
        <v>89</v>
      </c>
      <c r="J201" s="553" t="s">
        <v>151</v>
      </c>
      <c r="K201" s="565">
        <v>40900</v>
      </c>
      <c r="L201" s="555" t="s">
        <v>68</v>
      </c>
      <c r="M201" s="551">
        <v>197</v>
      </c>
      <c r="N201" s="556">
        <v>4</v>
      </c>
      <c r="O201" s="566">
        <v>206447</v>
      </c>
      <c r="P201" s="567">
        <v>29112</v>
      </c>
      <c r="Q201" s="568">
        <f>985836.5+657011.5+454728.5+206447</f>
        <v>2304023.5</v>
      </c>
      <c r="R201" s="569">
        <f>106718+73176+50608+29112</f>
        <v>259614</v>
      </c>
      <c r="S201" s="561">
        <v>40921</v>
      </c>
    </row>
    <row r="202" spans="1:19" ht="9.75" customHeight="1">
      <c r="A202" s="571"/>
      <c r="B202" s="571"/>
      <c r="C202" s="571"/>
      <c r="D202" s="562"/>
      <c r="E202" s="572"/>
      <c r="F202" s="599" t="s">
        <v>54</v>
      </c>
      <c r="G202" s="564" t="s">
        <v>151</v>
      </c>
      <c r="H202" s="551" t="s">
        <v>218</v>
      </c>
      <c r="I202" s="552"/>
      <c r="J202" s="553" t="s">
        <v>151</v>
      </c>
      <c r="K202" s="565">
        <v>40900</v>
      </c>
      <c r="L202" s="555" t="s">
        <v>68</v>
      </c>
      <c r="M202" s="551">
        <v>197</v>
      </c>
      <c r="N202" s="556">
        <v>5</v>
      </c>
      <c r="O202" s="566">
        <v>72029</v>
      </c>
      <c r="P202" s="567">
        <v>10776</v>
      </c>
      <c r="Q202" s="568">
        <f>985836.5+657011.5+454728.5+206461+72029</f>
        <v>2376066.5</v>
      </c>
      <c r="R202" s="569">
        <f>106718+73176+50608+29114+10776</f>
        <v>270392</v>
      </c>
      <c r="S202" s="561">
        <v>40928</v>
      </c>
    </row>
    <row r="203" spans="1:19" ht="9.75" customHeight="1">
      <c r="A203" s="571"/>
      <c r="B203" s="571"/>
      <c r="C203" s="571"/>
      <c r="D203" s="562"/>
      <c r="E203" s="572"/>
      <c r="F203" s="599" t="s">
        <v>54</v>
      </c>
      <c r="G203" s="564" t="s">
        <v>151</v>
      </c>
      <c r="H203" s="551" t="s">
        <v>218</v>
      </c>
      <c r="I203" s="552"/>
      <c r="J203" s="553" t="s">
        <v>151</v>
      </c>
      <c r="K203" s="565">
        <v>40900</v>
      </c>
      <c r="L203" s="555" t="s">
        <v>68</v>
      </c>
      <c r="M203" s="551">
        <v>197</v>
      </c>
      <c r="N203" s="556">
        <v>6</v>
      </c>
      <c r="O203" s="566">
        <v>16105.51</v>
      </c>
      <c r="P203" s="567">
        <v>3413</v>
      </c>
      <c r="Q203" s="568">
        <f>985836.5+657011.5+454728.5+206461+72029+16105.51</f>
        <v>2392172.01</v>
      </c>
      <c r="R203" s="569">
        <f>106718+73176+50608+29114+10776+3413</f>
        <v>273805</v>
      </c>
      <c r="S203" s="561">
        <v>40935</v>
      </c>
    </row>
    <row r="204" spans="1:19" ht="9.75" customHeight="1">
      <c r="A204" s="573"/>
      <c r="B204" s="573"/>
      <c r="C204" s="573"/>
      <c r="D204" s="692"/>
      <c r="E204" s="574"/>
      <c r="F204" s="634" t="s">
        <v>54</v>
      </c>
      <c r="G204" s="564" t="s">
        <v>151</v>
      </c>
      <c r="H204" s="551" t="s">
        <v>218</v>
      </c>
      <c r="I204" s="552"/>
      <c r="J204" s="553" t="s">
        <v>151</v>
      </c>
      <c r="K204" s="565">
        <v>40900</v>
      </c>
      <c r="L204" s="555" t="s">
        <v>68</v>
      </c>
      <c r="M204" s="551">
        <v>197</v>
      </c>
      <c r="N204" s="576">
        <v>7</v>
      </c>
      <c r="O204" s="566">
        <v>5902</v>
      </c>
      <c r="P204" s="567">
        <v>1375</v>
      </c>
      <c r="Q204" s="568">
        <f>985836.5+657011.5+454728.5+206461+72029+16105.51+5902</f>
        <v>2398074.01</v>
      </c>
      <c r="R204" s="569">
        <f>106718+73176+50608+29114+10776+3413+1375</f>
        <v>275180</v>
      </c>
      <c r="S204" s="561">
        <v>40942</v>
      </c>
    </row>
    <row r="205" spans="1:19" ht="9.75" customHeight="1">
      <c r="A205" s="527"/>
      <c r="B205" s="527"/>
      <c r="C205" s="527"/>
      <c r="D205" s="534"/>
      <c r="E205" s="533"/>
      <c r="F205" s="529" t="s">
        <v>54</v>
      </c>
      <c r="G205" s="550" t="s">
        <v>151</v>
      </c>
      <c r="H205" s="551" t="s">
        <v>218</v>
      </c>
      <c r="I205" s="552"/>
      <c r="J205" s="553" t="s">
        <v>151</v>
      </c>
      <c r="K205" s="554">
        <v>40900</v>
      </c>
      <c r="L205" s="555" t="s">
        <v>68</v>
      </c>
      <c r="M205" s="551">
        <v>197</v>
      </c>
      <c r="N205" s="556">
        <v>8</v>
      </c>
      <c r="O205" s="557">
        <v>3599</v>
      </c>
      <c r="P205" s="558">
        <v>639</v>
      </c>
      <c r="Q205" s="559">
        <f>985836.5+657011.5+454728.5+206461+72029+16105.51+5902+3599</f>
        <v>2401673.01</v>
      </c>
      <c r="R205" s="560">
        <f>106718+73176+50608+29114+10776+3413+1375+639</f>
        <v>275819</v>
      </c>
      <c r="S205" s="561">
        <v>40949</v>
      </c>
    </row>
    <row r="206" spans="1:19" ht="9.75" customHeight="1">
      <c r="A206" s="562"/>
      <c r="B206" s="562"/>
      <c r="C206" s="562"/>
      <c r="D206" s="562"/>
      <c r="E206" s="563"/>
      <c r="F206" s="563"/>
      <c r="G206" s="564" t="s">
        <v>268</v>
      </c>
      <c r="H206" s="551" t="s">
        <v>275</v>
      </c>
      <c r="I206" s="552" t="s">
        <v>273</v>
      </c>
      <c r="J206" s="553" t="s">
        <v>285</v>
      </c>
      <c r="K206" s="565">
        <v>40641</v>
      </c>
      <c r="L206" s="555" t="s">
        <v>68</v>
      </c>
      <c r="M206" s="551">
        <v>22</v>
      </c>
      <c r="N206" s="556">
        <v>21</v>
      </c>
      <c r="O206" s="566">
        <v>3801.5</v>
      </c>
      <c r="P206" s="567">
        <v>950</v>
      </c>
      <c r="Q206" s="568">
        <f>116634.25+59106.5+23134.5+13753.5+15970+8455.5+1576+1761+10125.5+2018+2376+1505+1606+4951.5+5289.5+5175+120+1367+4606+1218+3801.5</f>
        <v>284550.25</v>
      </c>
      <c r="R206" s="569">
        <f>8833+4531+2274+1803+2249+1097+201+284+1149+305+594+210+182+582+643+704+20+163+464+300+950</f>
        <v>27538</v>
      </c>
      <c r="S206" s="570">
        <v>40907</v>
      </c>
    </row>
    <row r="207" spans="1:19" ht="9.75" customHeight="1">
      <c r="A207" s="530" t="s">
        <v>223</v>
      </c>
      <c r="B207" s="534"/>
      <c r="C207" s="534"/>
      <c r="D207" s="527"/>
      <c r="E207" s="532"/>
      <c r="F207" s="533"/>
      <c r="G207" s="550" t="s">
        <v>751</v>
      </c>
      <c r="H207" s="551" t="s">
        <v>752</v>
      </c>
      <c r="I207" s="552" t="s">
        <v>273</v>
      </c>
      <c r="J207" s="553" t="s">
        <v>748</v>
      </c>
      <c r="K207" s="565">
        <v>40193</v>
      </c>
      <c r="L207" s="555" t="s">
        <v>68</v>
      </c>
      <c r="M207" s="551">
        <v>55</v>
      </c>
      <c r="N207" s="556">
        <v>1</v>
      </c>
      <c r="O207" s="566">
        <v>1782</v>
      </c>
      <c r="P207" s="567">
        <v>356</v>
      </c>
      <c r="Q207" s="568">
        <f>197266+158498+94472.5+25746.5+5341+4975+4175+3550+3868+6158+8020+1277+951+3397+4599+198+566+1146+2247.5+174+31.5+2775.5+1188+735+2376+307+324+2613.5+1782+1782+1782+1782</f>
        <v>544104</v>
      </c>
      <c r="R207" s="569">
        <f>19567+17056+12441+3194+866+909+697+693+818+1478+1988+298+238+832+1154+55+212+207+411+57+12+610+297+71+594+46+71+653+445+445+445+356</f>
        <v>67216</v>
      </c>
      <c r="S207" s="561">
        <v>40956</v>
      </c>
    </row>
    <row r="208" spans="1:19" ht="9.75" customHeight="1">
      <c r="A208" s="562"/>
      <c r="B208" s="562"/>
      <c r="C208" s="562"/>
      <c r="D208" s="562"/>
      <c r="E208" s="563"/>
      <c r="F208" s="676"/>
      <c r="G208" s="635" t="s">
        <v>131</v>
      </c>
      <c r="H208" s="551" t="s">
        <v>132</v>
      </c>
      <c r="I208" s="601" t="s">
        <v>99</v>
      </c>
      <c r="J208" s="552" t="s">
        <v>136</v>
      </c>
      <c r="K208" s="565">
        <v>40746</v>
      </c>
      <c r="L208" s="555" t="s">
        <v>52</v>
      </c>
      <c r="M208" s="585">
        <v>23</v>
      </c>
      <c r="N208" s="638">
        <v>18</v>
      </c>
      <c r="O208" s="666">
        <v>36</v>
      </c>
      <c r="P208" s="667">
        <v>6</v>
      </c>
      <c r="Q208" s="668">
        <f>47685+27229.5+17697.5+18612+19593.5+16691+6089.5+2551.5+2254+4358+2609+1310+356+168+150+121+69+36</f>
        <v>167580.5</v>
      </c>
      <c r="R208" s="615">
        <f>4321+2419+2108+2430+2448+2072+892+397+346+639+377+205+49+24+23+19+11+6</f>
        <v>18786</v>
      </c>
      <c r="S208" s="570">
        <v>40907</v>
      </c>
    </row>
    <row r="209" spans="1:19" ht="9.75" customHeight="1">
      <c r="A209" s="527"/>
      <c r="B209" s="534"/>
      <c r="C209" s="527"/>
      <c r="D209" s="527"/>
      <c r="E209" s="533"/>
      <c r="F209" s="533"/>
      <c r="G209" s="550" t="s">
        <v>695</v>
      </c>
      <c r="H209" s="553" t="s">
        <v>715</v>
      </c>
      <c r="I209" s="552" t="s">
        <v>248</v>
      </c>
      <c r="J209" s="553" t="s">
        <v>136</v>
      </c>
      <c r="K209" s="554">
        <v>40186</v>
      </c>
      <c r="L209" s="555" t="s">
        <v>68</v>
      </c>
      <c r="M209" s="551">
        <v>4</v>
      </c>
      <c r="N209" s="693">
        <v>36</v>
      </c>
      <c r="O209" s="557">
        <v>1188</v>
      </c>
      <c r="P209" s="558">
        <v>238</v>
      </c>
      <c r="Q209" s="559">
        <f>83443.75+1230+270+181+132+1991+2160.5+1188</f>
        <v>90596.25</v>
      </c>
      <c r="R209" s="560">
        <f>11555+209+47+34+22+311+532+238</f>
        <v>12948</v>
      </c>
      <c r="S209" s="561">
        <v>40949</v>
      </c>
    </row>
    <row r="210" spans="1:19" ht="9.75" customHeight="1">
      <c r="A210" s="571"/>
      <c r="B210" s="571"/>
      <c r="C210" s="562"/>
      <c r="D210" s="571"/>
      <c r="E210" s="563"/>
      <c r="F210" s="563"/>
      <c r="G210" s="637" t="s">
        <v>156</v>
      </c>
      <c r="H210" s="555" t="s">
        <v>129</v>
      </c>
      <c r="I210" s="555" t="s">
        <v>79</v>
      </c>
      <c r="J210" s="555" t="s">
        <v>130</v>
      </c>
      <c r="K210" s="565">
        <v>40893</v>
      </c>
      <c r="L210" s="555" t="s">
        <v>13</v>
      </c>
      <c r="M210" s="551">
        <v>2</v>
      </c>
      <c r="N210" s="556">
        <v>3</v>
      </c>
      <c r="O210" s="595">
        <v>1807</v>
      </c>
      <c r="P210" s="596">
        <v>178</v>
      </c>
      <c r="Q210" s="614">
        <v>9740</v>
      </c>
      <c r="R210" s="615">
        <v>753</v>
      </c>
      <c r="S210" s="570">
        <v>40907</v>
      </c>
    </row>
    <row r="211" spans="1:19" ht="9.75" customHeight="1">
      <c r="A211" s="527"/>
      <c r="B211" s="527"/>
      <c r="C211" s="527"/>
      <c r="D211" s="527"/>
      <c r="E211" s="533"/>
      <c r="F211" s="532"/>
      <c r="G211" s="689" t="s">
        <v>156</v>
      </c>
      <c r="H211" s="555" t="s">
        <v>129</v>
      </c>
      <c r="I211" s="555" t="s">
        <v>79</v>
      </c>
      <c r="J211" s="555" t="s">
        <v>130</v>
      </c>
      <c r="K211" s="565">
        <v>40893</v>
      </c>
      <c r="L211" s="555" t="s">
        <v>13</v>
      </c>
      <c r="M211" s="551">
        <v>2</v>
      </c>
      <c r="N211" s="556">
        <v>1</v>
      </c>
      <c r="O211" s="595">
        <v>1510</v>
      </c>
      <c r="P211" s="596">
        <v>302</v>
      </c>
      <c r="Q211" s="614">
        <v>12964</v>
      </c>
      <c r="R211" s="615">
        <v>1310</v>
      </c>
      <c r="S211" s="561">
        <v>40956</v>
      </c>
    </row>
    <row r="212" spans="1:19" ht="9.75" customHeight="1">
      <c r="A212" s="527"/>
      <c r="B212" s="527"/>
      <c r="C212" s="527"/>
      <c r="D212" s="527"/>
      <c r="E212" s="533"/>
      <c r="F212" s="532"/>
      <c r="G212" s="689" t="s">
        <v>156</v>
      </c>
      <c r="H212" s="555" t="s">
        <v>129</v>
      </c>
      <c r="I212" s="555" t="s">
        <v>79</v>
      </c>
      <c r="J212" s="555" t="s">
        <v>130</v>
      </c>
      <c r="K212" s="554">
        <v>40893</v>
      </c>
      <c r="L212" s="555" t="s">
        <v>13</v>
      </c>
      <c r="M212" s="551">
        <v>2</v>
      </c>
      <c r="N212" s="556">
        <v>5</v>
      </c>
      <c r="O212" s="618">
        <v>957</v>
      </c>
      <c r="P212" s="619">
        <v>111</v>
      </c>
      <c r="Q212" s="620">
        <v>11454</v>
      </c>
      <c r="R212" s="589">
        <v>1008</v>
      </c>
      <c r="S212" s="561">
        <v>40949</v>
      </c>
    </row>
    <row r="213" spans="1:19" ht="9.75" customHeight="1">
      <c r="A213" s="571"/>
      <c r="B213" s="571"/>
      <c r="C213" s="571"/>
      <c r="D213" s="571"/>
      <c r="E213" s="572"/>
      <c r="F213" s="563"/>
      <c r="G213" s="637" t="s">
        <v>156</v>
      </c>
      <c r="H213" s="555" t="s">
        <v>129</v>
      </c>
      <c r="I213" s="555" t="s">
        <v>79</v>
      </c>
      <c r="J213" s="555" t="s">
        <v>130</v>
      </c>
      <c r="K213" s="565">
        <v>40893</v>
      </c>
      <c r="L213" s="555" t="s">
        <v>13</v>
      </c>
      <c r="M213" s="577">
        <v>2</v>
      </c>
      <c r="N213" s="690">
        <v>4</v>
      </c>
      <c r="O213" s="591">
        <v>757</v>
      </c>
      <c r="P213" s="592">
        <v>72</v>
      </c>
      <c r="Q213" s="593">
        <v>10497</v>
      </c>
      <c r="R213" s="594">
        <v>825</v>
      </c>
      <c r="S213" s="561">
        <v>40914</v>
      </c>
    </row>
    <row r="214" spans="1:19" ht="9.75" customHeight="1">
      <c r="A214" s="571"/>
      <c r="B214" s="571"/>
      <c r="C214" s="562"/>
      <c r="D214" s="571"/>
      <c r="E214" s="563"/>
      <c r="F214" s="563"/>
      <c r="G214" s="635" t="s">
        <v>249</v>
      </c>
      <c r="H214" s="555" t="s">
        <v>250</v>
      </c>
      <c r="I214" s="555" t="s">
        <v>79</v>
      </c>
      <c r="J214" s="555" t="s">
        <v>243</v>
      </c>
      <c r="K214" s="629">
        <v>40718</v>
      </c>
      <c r="L214" s="555" t="s">
        <v>13</v>
      </c>
      <c r="M214" s="636">
        <v>5</v>
      </c>
      <c r="N214" s="556">
        <v>14</v>
      </c>
      <c r="O214" s="595">
        <v>1188</v>
      </c>
      <c r="P214" s="596">
        <v>237</v>
      </c>
      <c r="Q214" s="614">
        <v>30216.25</v>
      </c>
      <c r="R214" s="615">
        <v>3201</v>
      </c>
      <c r="S214" s="570">
        <v>40907</v>
      </c>
    </row>
    <row r="215" spans="1:19" ht="9.75" customHeight="1">
      <c r="A215" s="562"/>
      <c r="B215" s="562"/>
      <c r="C215" s="562"/>
      <c r="D215" s="562"/>
      <c r="E215" s="563"/>
      <c r="F215" s="599" t="s">
        <v>54</v>
      </c>
      <c r="G215" s="635" t="s">
        <v>106</v>
      </c>
      <c r="H215" s="551" t="s">
        <v>114</v>
      </c>
      <c r="I215" s="551"/>
      <c r="J215" s="551" t="s">
        <v>106</v>
      </c>
      <c r="K215" s="565">
        <v>40879</v>
      </c>
      <c r="L215" s="555" t="s">
        <v>8</v>
      </c>
      <c r="M215" s="551">
        <v>39</v>
      </c>
      <c r="N215" s="683">
        <v>5</v>
      </c>
      <c r="O215" s="566">
        <v>6888</v>
      </c>
      <c r="P215" s="567">
        <v>1032</v>
      </c>
      <c r="Q215" s="568">
        <v>207860</v>
      </c>
      <c r="R215" s="569">
        <v>22859</v>
      </c>
      <c r="S215" s="570">
        <v>40907</v>
      </c>
    </row>
    <row r="216" spans="1:19" ht="9.75" customHeight="1">
      <c r="A216" s="571"/>
      <c r="B216" s="571"/>
      <c r="C216" s="571"/>
      <c r="D216" s="571"/>
      <c r="E216" s="572"/>
      <c r="F216" s="599" t="s">
        <v>54</v>
      </c>
      <c r="G216" s="635" t="s">
        <v>106</v>
      </c>
      <c r="H216" s="551" t="s">
        <v>114</v>
      </c>
      <c r="I216" s="551"/>
      <c r="J216" s="551" t="s">
        <v>106</v>
      </c>
      <c r="K216" s="565">
        <v>40879</v>
      </c>
      <c r="L216" s="555" t="s">
        <v>8</v>
      </c>
      <c r="M216" s="577">
        <v>39</v>
      </c>
      <c r="N216" s="691">
        <v>6</v>
      </c>
      <c r="O216" s="579">
        <v>5509</v>
      </c>
      <c r="P216" s="580">
        <v>890</v>
      </c>
      <c r="Q216" s="581">
        <v>213369</v>
      </c>
      <c r="R216" s="582">
        <v>23749</v>
      </c>
      <c r="S216" s="561">
        <v>40914</v>
      </c>
    </row>
    <row r="217" spans="1:19" ht="9.75" customHeight="1">
      <c r="A217" s="571"/>
      <c r="B217" s="571"/>
      <c r="C217" s="571"/>
      <c r="D217" s="571"/>
      <c r="E217" s="572"/>
      <c r="F217" s="599" t="s">
        <v>54</v>
      </c>
      <c r="G217" s="635" t="s">
        <v>106</v>
      </c>
      <c r="H217" s="551" t="s">
        <v>114</v>
      </c>
      <c r="I217" s="551"/>
      <c r="J217" s="551" t="s">
        <v>106</v>
      </c>
      <c r="K217" s="565">
        <v>40879</v>
      </c>
      <c r="L217" s="555" t="s">
        <v>8</v>
      </c>
      <c r="M217" s="551">
        <v>39</v>
      </c>
      <c r="N217" s="683">
        <v>8</v>
      </c>
      <c r="O217" s="566">
        <v>5216</v>
      </c>
      <c r="P217" s="567">
        <v>689</v>
      </c>
      <c r="Q217" s="568">
        <v>223515</v>
      </c>
      <c r="R217" s="569">
        <v>25285</v>
      </c>
      <c r="S217" s="561">
        <v>40928</v>
      </c>
    </row>
    <row r="218" spans="1:19" ht="9.75" customHeight="1">
      <c r="A218" s="571"/>
      <c r="B218" s="571"/>
      <c r="C218" s="571"/>
      <c r="D218" s="571"/>
      <c r="E218" s="572"/>
      <c r="F218" s="599" t="s">
        <v>54</v>
      </c>
      <c r="G218" s="635" t="s">
        <v>106</v>
      </c>
      <c r="H218" s="551" t="s">
        <v>114</v>
      </c>
      <c r="I218" s="551"/>
      <c r="J218" s="551" t="s">
        <v>106</v>
      </c>
      <c r="K218" s="565">
        <v>40879</v>
      </c>
      <c r="L218" s="555" t="s">
        <v>8</v>
      </c>
      <c r="M218" s="551">
        <v>39</v>
      </c>
      <c r="N218" s="683">
        <v>7</v>
      </c>
      <c r="O218" s="684">
        <v>4931</v>
      </c>
      <c r="P218" s="685">
        <v>847</v>
      </c>
      <c r="Q218" s="568">
        <v>216338</v>
      </c>
      <c r="R218" s="569">
        <v>24246</v>
      </c>
      <c r="S218" s="561">
        <v>40921</v>
      </c>
    </row>
    <row r="219" spans="1:19" ht="9.75" customHeight="1">
      <c r="A219" s="571"/>
      <c r="B219" s="571"/>
      <c r="C219" s="571"/>
      <c r="D219" s="571"/>
      <c r="E219" s="572"/>
      <c r="F219" s="599" t="s">
        <v>54</v>
      </c>
      <c r="G219" s="635" t="s">
        <v>106</v>
      </c>
      <c r="H219" s="551" t="s">
        <v>114</v>
      </c>
      <c r="I219" s="551"/>
      <c r="J219" s="551" t="s">
        <v>106</v>
      </c>
      <c r="K219" s="565">
        <v>40879</v>
      </c>
      <c r="L219" s="555" t="s">
        <v>8</v>
      </c>
      <c r="M219" s="551">
        <v>39</v>
      </c>
      <c r="N219" s="683">
        <v>9</v>
      </c>
      <c r="O219" s="684">
        <v>520</v>
      </c>
      <c r="P219" s="685">
        <v>88</v>
      </c>
      <c r="Q219" s="649">
        <v>224035</v>
      </c>
      <c r="R219" s="650">
        <v>25373</v>
      </c>
      <c r="S219" s="561">
        <v>40935</v>
      </c>
    </row>
    <row r="220" spans="1:19" ht="9.75" customHeight="1">
      <c r="A220" s="573"/>
      <c r="B220" s="573"/>
      <c r="C220" s="573"/>
      <c r="D220" s="573"/>
      <c r="E220" s="574"/>
      <c r="F220" s="634" t="s">
        <v>54</v>
      </c>
      <c r="G220" s="635" t="s">
        <v>106</v>
      </c>
      <c r="H220" s="551" t="s">
        <v>114</v>
      </c>
      <c r="I220" s="551"/>
      <c r="J220" s="551" t="s">
        <v>106</v>
      </c>
      <c r="K220" s="565">
        <v>40879</v>
      </c>
      <c r="L220" s="555" t="s">
        <v>8</v>
      </c>
      <c r="M220" s="551">
        <v>39</v>
      </c>
      <c r="N220" s="683">
        <v>10</v>
      </c>
      <c r="O220" s="566">
        <v>378</v>
      </c>
      <c r="P220" s="567">
        <v>67</v>
      </c>
      <c r="Q220" s="568">
        <v>224413</v>
      </c>
      <c r="R220" s="569">
        <v>25440</v>
      </c>
      <c r="S220" s="561">
        <v>40942</v>
      </c>
    </row>
    <row r="221" spans="1:19" ht="9.75" customHeight="1">
      <c r="A221" s="527"/>
      <c r="B221" s="527"/>
      <c r="C221" s="527"/>
      <c r="D221" s="527"/>
      <c r="E221" s="533"/>
      <c r="F221" s="529" t="s">
        <v>54</v>
      </c>
      <c r="G221" s="632" t="s">
        <v>106</v>
      </c>
      <c r="H221" s="551" t="s">
        <v>114</v>
      </c>
      <c r="I221" s="551"/>
      <c r="J221" s="551" t="s">
        <v>106</v>
      </c>
      <c r="K221" s="554">
        <v>40879</v>
      </c>
      <c r="L221" s="555" t="s">
        <v>8</v>
      </c>
      <c r="M221" s="551">
        <v>39</v>
      </c>
      <c r="N221" s="683">
        <v>11</v>
      </c>
      <c r="O221" s="557">
        <v>300</v>
      </c>
      <c r="P221" s="558">
        <v>53</v>
      </c>
      <c r="Q221" s="559">
        <v>224713</v>
      </c>
      <c r="R221" s="560">
        <v>25493</v>
      </c>
      <c r="S221" s="561">
        <v>40949</v>
      </c>
    </row>
    <row r="222" spans="1:19" ht="9.75" customHeight="1">
      <c r="A222" s="608"/>
      <c r="B222" s="608"/>
      <c r="C222" s="571"/>
      <c r="D222" s="608"/>
      <c r="E222" s="572"/>
      <c r="F222" s="563"/>
      <c r="G222" s="637" t="s">
        <v>374</v>
      </c>
      <c r="H222" s="551" t="s">
        <v>376</v>
      </c>
      <c r="I222" s="555" t="s">
        <v>260</v>
      </c>
      <c r="J222" s="555" t="s">
        <v>375</v>
      </c>
      <c r="K222" s="565">
        <v>40921</v>
      </c>
      <c r="L222" s="555" t="s">
        <v>332</v>
      </c>
      <c r="M222" s="551">
        <v>16</v>
      </c>
      <c r="N222" s="556">
        <v>1</v>
      </c>
      <c r="O222" s="595">
        <v>63901</v>
      </c>
      <c r="P222" s="596">
        <v>5127</v>
      </c>
      <c r="Q222" s="614">
        <v>38005.5</v>
      </c>
      <c r="R222" s="615">
        <v>2857</v>
      </c>
      <c r="S222" s="561">
        <v>40921</v>
      </c>
    </row>
    <row r="223" spans="1:19" ht="9.75" customHeight="1">
      <c r="A223" s="527"/>
      <c r="B223" s="534"/>
      <c r="C223" s="527"/>
      <c r="D223" s="527"/>
      <c r="E223" s="533"/>
      <c r="F223" s="533"/>
      <c r="G223" s="550" t="s">
        <v>694</v>
      </c>
      <c r="H223" s="553" t="s">
        <v>705</v>
      </c>
      <c r="I223" s="552" t="s">
        <v>128</v>
      </c>
      <c r="J223" s="553" t="s">
        <v>713</v>
      </c>
      <c r="K223" s="554">
        <v>40893</v>
      </c>
      <c r="L223" s="555" t="s">
        <v>68</v>
      </c>
      <c r="M223" s="551">
        <v>1</v>
      </c>
      <c r="N223" s="693">
        <v>3</v>
      </c>
      <c r="O223" s="557">
        <v>3207.5</v>
      </c>
      <c r="P223" s="558">
        <v>642</v>
      </c>
      <c r="Q223" s="559">
        <f>1021.5+726.5+3207.5</f>
        <v>4955.5</v>
      </c>
      <c r="R223" s="560">
        <f>71+52+642</f>
        <v>765</v>
      </c>
      <c r="S223" s="561">
        <v>40949</v>
      </c>
    </row>
    <row r="224" spans="1:19" ht="9.75" customHeight="1">
      <c r="A224" s="562"/>
      <c r="B224" s="562"/>
      <c r="C224" s="210">
        <v>2</v>
      </c>
      <c r="D224" s="231" t="s">
        <v>292</v>
      </c>
      <c r="E224" s="563"/>
      <c r="F224" s="563"/>
      <c r="G224" s="564" t="s">
        <v>222</v>
      </c>
      <c r="H224" s="551" t="s">
        <v>213</v>
      </c>
      <c r="I224" s="659" t="s">
        <v>94</v>
      </c>
      <c r="J224" s="553" t="s">
        <v>222</v>
      </c>
      <c r="K224" s="629">
        <v>40900</v>
      </c>
      <c r="L224" s="555" t="s">
        <v>12</v>
      </c>
      <c r="M224" s="551">
        <v>184</v>
      </c>
      <c r="N224" s="556">
        <v>2</v>
      </c>
      <c r="O224" s="618">
        <v>1211019</v>
      </c>
      <c r="P224" s="619">
        <v>123420</v>
      </c>
      <c r="Q224" s="620">
        <v>3864182</v>
      </c>
      <c r="R224" s="589">
        <v>381786</v>
      </c>
      <c r="S224" s="570">
        <v>40907</v>
      </c>
    </row>
    <row r="225" spans="1:19" ht="9.75" customHeight="1">
      <c r="A225" s="571"/>
      <c r="B225" s="571"/>
      <c r="C225" s="210">
        <v>2</v>
      </c>
      <c r="D225" s="231" t="s">
        <v>292</v>
      </c>
      <c r="E225" s="572"/>
      <c r="F225" s="572"/>
      <c r="G225" s="564" t="s">
        <v>222</v>
      </c>
      <c r="H225" s="551" t="s">
        <v>213</v>
      </c>
      <c r="I225" s="659" t="s">
        <v>94</v>
      </c>
      <c r="J225" s="553" t="s">
        <v>222</v>
      </c>
      <c r="K225" s="629">
        <v>40900</v>
      </c>
      <c r="L225" s="555" t="s">
        <v>12</v>
      </c>
      <c r="M225" s="577">
        <v>184</v>
      </c>
      <c r="N225" s="590">
        <v>3</v>
      </c>
      <c r="O225" s="591">
        <v>924297</v>
      </c>
      <c r="P225" s="592">
        <v>89902</v>
      </c>
      <c r="Q225" s="593">
        <v>4788479</v>
      </c>
      <c r="R225" s="594">
        <v>471688</v>
      </c>
      <c r="S225" s="561">
        <v>40914</v>
      </c>
    </row>
    <row r="226" spans="1:19" ht="9.75" customHeight="1">
      <c r="A226" s="571"/>
      <c r="B226" s="571"/>
      <c r="C226" s="210">
        <v>2</v>
      </c>
      <c r="D226" s="231" t="s">
        <v>292</v>
      </c>
      <c r="E226" s="572"/>
      <c r="F226" s="572"/>
      <c r="G226" s="564" t="s">
        <v>222</v>
      </c>
      <c r="H226" s="551" t="s">
        <v>213</v>
      </c>
      <c r="I226" s="659" t="s">
        <v>94</v>
      </c>
      <c r="J226" s="553" t="s">
        <v>222</v>
      </c>
      <c r="K226" s="629">
        <v>40900</v>
      </c>
      <c r="L226" s="555" t="s">
        <v>12</v>
      </c>
      <c r="M226" s="551">
        <v>184</v>
      </c>
      <c r="N226" s="556">
        <v>4</v>
      </c>
      <c r="O226" s="595">
        <v>703674</v>
      </c>
      <c r="P226" s="596">
        <v>71922</v>
      </c>
      <c r="Q226" s="620">
        <v>5494639</v>
      </c>
      <c r="R226" s="589">
        <v>543827</v>
      </c>
      <c r="S226" s="561">
        <v>40921</v>
      </c>
    </row>
    <row r="227" spans="1:19" ht="9.75" customHeight="1">
      <c r="A227" s="571"/>
      <c r="B227" s="571"/>
      <c r="C227" s="210">
        <v>2</v>
      </c>
      <c r="D227" s="231" t="s">
        <v>292</v>
      </c>
      <c r="E227" s="572"/>
      <c r="F227" s="572"/>
      <c r="G227" s="564" t="s">
        <v>222</v>
      </c>
      <c r="H227" s="551" t="s">
        <v>213</v>
      </c>
      <c r="I227" s="659" t="s">
        <v>94</v>
      </c>
      <c r="J227" s="553" t="s">
        <v>222</v>
      </c>
      <c r="K227" s="629">
        <v>40900</v>
      </c>
      <c r="L227" s="555" t="s">
        <v>12</v>
      </c>
      <c r="M227" s="551">
        <v>184</v>
      </c>
      <c r="N227" s="556">
        <v>5</v>
      </c>
      <c r="O227" s="595">
        <v>600850</v>
      </c>
      <c r="P227" s="596">
        <v>60840</v>
      </c>
      <c r="Q227" s="614">
        <v>6097023</v>
      </c>
      <c r="R227" s="615">
        <v>604730</v>
      </c>
      <c r="S227" s="561">
        <v>40928</v>
      </c>
    </row>
    <row r="228" spans="1:19" ht="9.75" customHeight="1">
      <c r="A228" s="571"/>
      <c r="B228" s="571"/>
      <c r="C228" s="210">
        <v>2</v>
      </c>
      <c r="D228" s="231" t="s">
        <v>292</v>
      </c>
      <c r="E228" s="572"/>
      <c r="F228" s="572"/>
      <c r="G228" s="564" t="s">
        <v>222</v>
      </c>
      <c r="H228" s="551" t="s">
        <v>213</v>
      </c>
      <c r="I228" s="659" t="s">
        <v>94</v>
      </c>
      <c r="J228" s="553" t="s">
        <v>222</v>
      </c>
      <c r="K228" s="629">
        <v>40900</v>
      </c>
      <c r="L228" s="555" t="s">
        <v>12</v>
      </c>
      <c r="M228" s="551">
        <v>184</v>
      </c>
      <c r="N228" s="556">
        <v>5</v>
      </c>
      <c r="O228" s="595">
        <v>149633</v>
      </c>
      <c r="P228" s="596">
        <v>15087</v>
      </c>
      <c r="Q228" s="614">
        <v>6257425</v>
      </c>
      <c r="R228" s="615">
        <v>621347</v>
      </c>
      <c r="S228" s="561">
        <v>40935</v>
      </c>
    </row>
    <row r="229" spans="1:19" ht="9.75" customHeight="1">
      <c r="A229" s="573"/>
      <c r="B229" s="573"/>
      <c r="C229" s="624">
        <v>2</v>
      </c>
      <c r="D229" s="625" t="s">
        <v>292</v>
      </c>
      <c r="E229" s="574"/>
      <c r="F229" s="574"/>
      <c r="G229" s="564" t="s">
        <v>222</v>
      </c>
      <c r="H229" s="551" t="s">
        <v>213</v>
      </c>
      <c r="I229" s="659" t="s">
        <v>94</v>
      </c>
      <c r="J229" s="553" t="s">
        <v>222</v>
      </c>
      <c r="K229" s="629">
        <v>40900</v>
      </c>
      <c r="L229" s="555" t="s">
        <v>12</v>
      </c>
      <c r="M229" s="551">
        <v>184</v>
      </c>
      <c r="N229" s="556">
        <v>6</v>
      </c>
      <c r="O229" s="595">
        <v>31972</v>
      </c>
      <c r="P229" s="596">
        <v>3234</v>
      </c>
      <c r="Q229" s="614">
        <v>6365428</v>
      </c>
      <c r="R229" s="615">
        <v>635504</v>
      </c>
      <c r="S229" s="561">
        <v>40942</v>
      </c>
    </row>
    <row r="230" spans="1:19" ht="9.75" customHeight="1">
      <c r="A230" s="527"/>
      <c r="B230" s="527"/>
      <c r="C230" s="364">
        <v>2</v>
      </c>
      <c r="D230" s="531" t="s">
        <v>292</v>
      </c>
      <c r="E230" s="533"/>
      <c r="F230" s="533"/>
      <c r="G230" s="550" t="s">
        <v>222</v>
      </c>
      <c r="H230" s="551" t="s">
        <v>213</v>
      </c>
      <c r="I230" s="659" t="s">
        <v>94</v>
      </c>
      <c r="J230" s="553" t="s">
        <v>222</v>
      </c>
      <c r="K230" s="673">
        <v>40900</v>
      </c>
      <c r="L230" s="555" t="s">
        <v>12</v>
      </c>
      <c r="M230" s="551">
        <v>184</v>
      </c>
      <c r="N230" s="556">
        <v>7</v>
      </c>
      <c r="O230" s="618">
        <v>9359</v>
      </c>
      <c r="P230" s="619">
        <v>1136</v>
      </c>
      <c r="Q230" s="620">
        <v>6374787</v>
      </c>
      <c r="R230" s="589">
        <v>636640</v>
      </c>
      <c r="S230" s="561">
        <v>40949</v>
      </c>
    </row>
    <row r="231" spans="1:19" ht="9.75" customHeight="1">
      <c r="A231" s="527"/>
      <c r="B231" s="527"/>
      <c r="C231" s="364">
        <v>2</v>
      </c>
      <c r="D231" s="531" t="s">
        <v>292</v>
      </c>
      <c r="E231" s="533"/>
      <c r="F231" s="533"/>
      <c r="G231" s="550" t="s">
        <v>222</v>
      </c>
      <c r="H231" s="551" t="s">
        <v>213</v>
      </c>
      <c r="I231" s="659" t="s">
        <v>94</v>
      </c>
      <c r="J231" s="553" t="s">
        <v>222</v>
      </c>
      <c r="K231" s="629">
        <v>40900</v>
      </c>
      <c r="L231" s="555" t="s">
        <v>12</v>
      </c>
      <c r="M231" s="551">
        <v>184</v>
      </c>
      <c r="N231" s="556">
        <v>3</v>
      </c>
      <c r="O231" s="618">
        <v>1591</v>
      </c>
      <c r="P231" s="619">
        <v>246</v>
      </c>
      <c r="Q231" s="620">
        <v>6376385</v>
      </c>
      <c r="R231" s="589">
        <v>636887</v>
      </c>
      <c r="S231" s="561">
        <v>40956</v>
      </c>
    </row>
    <row r="232" spans="1:19" ht="9.75" customHeight="1">
      <c r="A232" s="562"/>
      <c r="B232" s="562"/>
      <c r="C232" s="562"/>
      <c r="D232" s="562"/>
      <c r="E232" s="672"/>
      <c r="F232" s="631"/>
      <c r="G232" s="637" t="s">
        <v>117</v>
      </c>
      <c r="H232" s="551" t="s">
        <v>118</v>
      </c>
      <c r="I232" s="555" t="s">
        <v>95</v>
      </c>
      <c r="J232" s="555" t="s">
        <v>119</v>
      </c>
      <c r="K232" s="694">
        <v>40886</v>
      </c>
      <c r="L232" s="555" t="s">
        <v>10</v>
      </c>
      <c r="M232" s="551">
        <v>25</v>
      </c>
      <c r="N232" s="638">
        <v>4</v>
      </c>
      <c r="O232" s="566">
        <v>7798</v>
      </c>
      <c r="P232" s="567">
        <v>1075</v>
      </c>
      <c r="Q232" s="568">
        <v>410245</v>
      </c>
      <c r="R232" s="569">
        <v>32354</v>
      </c>
      <c r="S232" s="570">
        <v>40907</v>
      </c>
    </row>
    <row r="233" spans="1:19" ht="9.75" customHeight="1">
      <c r="A233" s="571"/>
      <c r="B233" s="571"/>
      <c r="C233" s="571"/>
      <c r="D233" s="571"/>
      <c r="E233" s="654"/>
      <c r="F233" s="627"/>
      <c r="G233" s="637" t="s">
        <v>117</v>
      </c>
      <c r="H233" s="551" t="s">
        <v>118</v>
      </c>
      <c r="I233" s="555" t="s">
        <v>95</v>
      </c>
      <c r="J233" s="555" t="s">
        <v>119</v>
      </c>
      <c r="K233" s="694">
        <v>40886</v>
      </c>
      <c r="L233" s="555" t="s">
        <v>10</v>
      </c>
      <c r="M233" s="551">
        <v>25</v>
      </c>
      <c r="N233" s="638">
        <v>7</v>
      </c>
      <c r="O233" s="566">
        <v>6602</v>
      </c>
      <c r="P233" s="567">
        <v>811</v>
      </c>
      <c r="Q233" s="568">
        <v>422285</v>
      </c>
      <c r="R233" s="569">
        <v>34230</v>
      </c>
      <c r="S233" s="561">
        <v>40928</v>
      </c>
    </row>
    <row r="234" spans="1:19" ht="9.75" customHeight="1">
      <c r="A234" s="571"/>
      <c r="B234" s="571"/>
      <c r="C234" s="571"/>
      <c r="D234" s="571"/>
      <c r="E234" s="654"/>
      <c r="F234" s="627"/>
      <c r="G234" s="637" t="s">
        <v>117</v>
      </c>
      <c r="H234" s="551" t="s">
        <v>118</v>
      </c>
      <c r="I234" s="555" t="s">
        <v>95</v>
      </c>
      <c r="J234" s="555" t="s">
        <v>119</v>
      </c>
      <c r="K234" s="694">
        <v>40886</v>
      </c>
      <c r="L234" s="555" t="s">
        <v>10</v>
      </c>
      <c r="M234" s="577">
        <v>25</v>
      </c>
      <c r="N234" s="643">
        <v>5</v>
      </c>
      <c r="O234" s="579">
        <v>3058</v>
      </c>
      <c r="P234" s="580">
        <v>780</v>
      </c>
      <c r="Q234" s="581">
        <f>410245+3058</f>
        <v>413303</v>
      </c>
      <c r="R234" s="582">
        <f>32354+780</f>
        <v>33134</v>
      </c>
      <c r="S234" s="561">
        <v>40914</v>
      </c>
    </row>
    <row r="235" spans="1:19" ht="9.75" customHeight="1">
      <c r="A235" s="527"/>
      <c r="B235" s="527"/>
      <c r="C235" s="527"/>
      <c r="D235" s="527"/>
      <c r="E235" s="536"/>
      <c r="F235" s="537"/>
      <c r="G235" s="689" t="s">
        <v>117</v>
      </c>
      <c r="H235" s="551" t="s">
        <v>118</v>
      </c>
      <c r="I235" s="555" t="s">
        <v>95</v>
      </c>
      <c r="J235" s="555" t="s">
        <v>119</v>
      </c>
      <c r="K235" s="695">
        <v>40886</v>
      </c>
      <c r="L235" s="555" t="s">
        <v>10</v>
      </c>
      <c r="M235" s="551">
        <v>25</v>
      </c>
      <c r="N235" s="638">
        <v>9</v>
      </c>
      <c r="O235" s="557">
        <v>2795</v>
      </c>
      <c r="P235" s="558">
        <v>311</v>
      </c>
      <c r="Q235" s="559">
        <v>426547</v>
      </c>
      <c r="R235" s="560">
        <v>34707</v>
      </c>
      <c r="S235" s="561">
        <v>40949</v>
      </c>
    </row>
    <row r="236" spans="1:19" ht="9.75" customHeight="1">
      <c r="A236" s="571"/>
      <c r="B236" s="571"/>
      <c r="C236" s="571"/>
      <c r="D236" s="571"/>
      <c r="E236" s="654"/>
      <c r="F236" s="627"/>
      <c r="G236" s="637" t="s">
        <v>117</v>
      </c>
      <c r="H236" s="551" t="s">
        <v>118</v>
      </c>
      <c r="I236" s="555" t="s">
        <v>95</v>
      </c>
      <c r="J236" s="555" t="s">
        <v>119</v>
      </c>
      <c r="K236" s="694">
        <v>40886</v>
      </c>
      <c r="L236" s="555" t="s">
        <v>10</v>
      </c>
      <c r="M236" s="551">
        <v>25</v>
      </c>
      <c r="N236" s="638">
        <v>6</v>
      </c>
      <c r="O236" s="566">
        <v>2380</v>
      </c>
      <c r="P236" s="567">
        <v>285</v>
      </c>
      <c r="Q236" s="568">
        <v>415683</v>
      </c>
      <c r="R236" s="569">
        <v>33419</v>
      </c>
      <c r="S236" s="561">
        <v>40921</v>
      </c>
    </row>
    <row r="237" spans="1:19" ht="9.75" customHeight="1">
      <c r="A237" s="573"/>
      <c r="B237" s="573"/>
      <c r="C237" s="573"/>
      <c r="D237" s="573"/>
      <c r="E237" s="674"/>
      <c r="F237" s="677"/>
      <c r="G237" s="637" t="s">
        <v>117</v>
      </c>
      <c r="H237" s="551" t="s">
        <v>118</v>
      </c>
      <c r="I237" s="555" t="s">
        <v>95</v>
      </c>
      <c r="J237" s="555" t="s">
        <v>119</v>
      </c>
      <c r="K237" s="694">
        <v>40886</v>
      </c>
      <c r="L237" s="555" t="s">
        <v>10</v>
      </c>
      <c r="M237" s="551">
        <v>25</v>
      </c>
      <c r="N237" s="638">
        <v>8</v>
      </c>
      <c r="O237" s="566">
        <v>1467</v>
      </c>
      <c r="P237" s="567">
        <v>166</v>
      </c>
      <c r="Q237" s="568">
        <v>423752</v>
      </c>
      <c r="R237" s="569">
        <v>34396</v>
      </c>
      <c r="S237" s="561">
        <v>40942</v>
      </c>
    </row>
    <row r="238" spans="1:19" ht="9.75" customHeight="1">
      <c r="A238" s="527"/>
      <c r="B238" s="527"/>
      <c r="C238" s="527"/>
      <c r="D238" s="527"/>
      <c r="E238" s="536"/>
      <c r="F238" s="537"/>
      <c r="G238" s="689" t="s">
        <v>117</v>
      </c>
      <c r="H238" s="551" t="s">
        <v>118</v>
      </c>
      <c r="I238" s="555" t="s">
        <v>95</v>
      </c>
      <c r="J238" s="555" t="s">
        <v>119</v>
      </c>
      <c r="K238" s="694">
        <v>40886</v>
      </c>
      <c r="L238" s="555" t="s">
        <v>10</v>
      </c>
      <c r="M238" s="551">
        <v>25</v>
      </c>
      <c r="N238" s="638">
        <v>1</v>
      </c>
      <c r="O238" s="566">
        <v>1188</v>
      </c>
      <c r="P238" s="567">
        <v>297</v>
      </c>
      <c r="Q238" s="568">
        <v>427735</v>
      </c>
      <c r="R238" s="569">
        <v>35004</v>
      </c>
      <c r="S238" s="561">
        <v>40956</v>
      </c>
    </row>
    <row r="239" spans="1:19" ht="9.75" customHeight="1">
      <c r="A239" s="229" t="s">
        <v>223</v>
      </c>
      <c r="B239" s="571"/>
      <c r="C239" s="608"/>
      <c r="D239" s="571"/>
      <c r="E239" s="572"/>
      <c r="F239" s="563"/>
      <c r="G239" s="564" t="s">
        <v>444</v>
      </c>
      <c r="H239" s="553" t="s">
        <v>461</v>
      </c>
      <c r="I239" s="553" t="s">
        <v>89</v>
      </c>
      <c r="J239" s="553" t="s">
        <v>452</v>
      </c>
      <c r="K239" s="565">
        <v>40781</v>
      </c>
      <c r="L239" s="555" t="s">
        <v>68</v>
      </c>
      <c r="M239" s="551">
        <v>96</v>
      </c>
      <c r="N239" s="556">
        <v>17</v>
      </c>
      <c r="O239" s="566">
        <v>3564</v>
      </c>
      <c r="P239" s="567">
        <v>892</v>
      </c>
      <c r="Q239" s="568">
        <f>29056+844874+618474.25+386880.75+207889+130968.5+129398.5+101615+71628.5+47296.5+22263.5+13505+4171.5+5940+3840+5098.5+8056+3564</f>
        <v>2634519.5</v>
      </c>
      <c r="R239" s="569">
        <f>4385+80857+63348+40336+22079+15879+16790+12949+9380+7537+4227+2497+926+1486+944+1206+1963+892</f>
        <v>287681</v>
      </c>
      <c r="S239" s="561">
        <v>40928</v>
      </c>
    </row>
    <row r="240" spans="1:19" ht="9.75" customHeight="1">
      <c r="A240" s="597"/>
      <c r="B240" s="597"/>
      <c r="C240" s="562"/>
      <c r="D240" s="231" t="s">
        <v>292</v>
      </c>
      <c r="E240" s="563"/>
      <c r="F240" s="599" t="s">
        <v>54</v>
      </c>
      <c r="G240" s="635" t="s">
        <v>110</v>
      </c>
      <c r="H240" s="551" t="s">
        <v>113</v>
      </c>
      <c r="I240" s="551"/>
      <c r="J240" s="551" t="s">
        <v>110</v>
      </c>
      <c r="K240" s="565">
        <v>40879</v>
      </c>
      <c r="L240" s="555" t="s">
        <v>53</v>
      </c>
      <c r="M240" s="551">
        <v>135</v>
      </c>
      <c r="N240" s="603">
        <v>5</v>
      </c>
      <c r="O240" s="604">
        <v>197271.5</v>
      </c>
      <c r="P240" s="605">
        <v>25625</v>
      </c>
      <c r="Q240" s="606">
        <f>1709882.25+1194489.75+708906.5+376327+70+197271.5</f>
        <v>4186947</v>
      </c>
      <c r="R240" s="607">
        <f>195314+135261+80447+45395+10+25625</f>
        <v>482052</v>
      </c>
      <c r="S240" s="570">
        <v>40907</v>
      </c>
    </row>
    <row r="241" spans="1:19" ht="9.75" customHeight="1">
      <c r="A241" s="608"/>
      <c r="B241" s="608"/>
      <c r="C241" s="571"/>
      <c r="D241" s="231" t="s">
        <v>292</v>
      </c>
      <c r="E241" s="563"/>
      <c r="F241" s="599" t="s">
        <v>54</v>
      </c>
      <c r="G241" s="635" t="s">
        <v>110</v>
      </c>
      <c r="H241" s="551" t="s">
        <v>113</v>
      </c>
      <c r="I241" s="551"/>
      <c r="J241" s="551" t="s">
        <v>110</v>
      </c>
      <c r="K241" s="565">
        <v>40879</v>
      </c>
      <c r="L241" s="555" t="s">
        <v>53</v>
      </c>
      <c r="M241" s="577">
        <v>135</v>
      </c>
      <c r="N241" s="610">
        <v>6</v>
      </c>
      <c r="O241" s="611">
        <v>73341.5</v>
      </c>
      <c r="P241" s="592">
        <v>10302</v>
      </c>
      <c r="Q241" s="612">
        <f>1709882.25+1194489.75+708906.5+376327+70+197271.5+73341.5</f>
        <v>4260288.5</v>
      </c>
      <c r="R241" s="594">
        <f>195314+135261+80447+45395+10+25625+10302</f>
        <v>492354</v>
      </c>
      <c r="S241" s="561">
        <v>40914</v>
      </c>
    </row>
    <row r="242" spans="1:19" ht="9.75" customHeight="1">
      <c r="A242" s="608"/>
      <c r="B242" s="608"/>
      <c r="C242" s="571"/>
      <c r="D242" s="231" t="s">
        <v>292</v>
      </c>
      <c r="E242" s="563"/>
      <c r="F242" s="599" t="s">
        <v>54</v>
      </c>
      <c r="G242" s="635" t="s">
        <v>110</v>
      </c>
      <c r="H242" s="551" t="s">
        <v>113</v>
      </c>
      <c r="I242" s="551"/>
      <c r="J242" s="551" t="s">
        <v>110</v>
      </c>
      <c r="K242" s="565">
        <v>40879</v>
      </c>
      <c r="L242" s="555" t="s">
        <v>53</v>
      </c>
      <c r="M242" s="551">
        <v>135</v>
      </c>
      <c r="N242" s="603">
        <v>7</v>
      </c>
      <c r="O242" s="595">
        <v>70692.5</v>
      </c>
      <c r="P242" s="596">
        <v>10950</v>
      </c>
      <c r="Q242" s="606">
        <f>1709882.25+1194489.75+708906.5+376327+70+197271.5+73341.5+70692.5</f>
        <v>4330981</v>
      </c>
      <c r="R242" s="607">
        <f>195314+135261+80447+45395+10+25625+10302+10950</f>
        <v>503304</v>
      </c>
      <c r="S242" s="561">
        <v>40921</v>
      </c>
    </row>
    <row r="243" spans="1:19" ht="9.75" customHeight="1">
      <c r="A243" s="608"/>
      <c r="B243" s="608"/>
      <c r="C243" s="571"/>
      <c r="D243" s="231" t="s">
        <v>292</v>
      </c>
      <c r="E243" s="563"/>
      <c r="F243" s="599" t="s">
        <v>54</v>
      </c>
      <c r="G243" s="635" t="s">
        <v>110</v>
      </c>
      <c r="H243" s="551" t="s">
        <v>113</v>
      </c>
      <c r="I243" s="551"/>
      <c r="J243" s="551" t="s">
        <v>110</v>
      </c>
      <c r="K243" s="565">
        <v>40879</v>
      </c>
      <c r="L243" s="555" t="s">
        <v>53</v>
      </c>
      <c r="M243" s="551">
        <v>135</v>
      </c>
      <c r="N243" s="613">
        <v>8</v>
      </c>
      <c r="O243" s="595">
        <v>50480.5</v>
      </c>
      <c r="P243" s="596">
        <v>7727</v>
      </c>
      <c r="Q243" s="614">
        <f>1709882.25+1194489.75+708906.5+376327+70+197271.5+73341.5+70692.5+50480.5</f>
        <v>4381461.5</v>
      </c>
      <c r="R243" s="615">
        <f>195314+135261+80447+45395+10+25625+10302+10950+7727</f>
        <v>511031</v>
      </c>
      <c r="S243" s="561">
        <v>40928</v>
      </c>
    </row>
    <row r="244" spans="1:19" ht="9.75" customHeight="1">
      <c r="A244" s="608"/>
      <c r="B244" s="608"/>
      <c r="C244" s="571"/>
      <c r="D244" s="231" t="s">
        <v>292</v>
      </c>
      <c r="E244" s="563"/>
      <c r="F244" s="599" t="s">
        <v>54</v>
      </c>
      <c r="G244" s="635" t="s">
        <v>110</v>
      </c>
      <c r="H244" s="551" t="s">
        <v>113</v>
      </c>
      <c r="I244" s="551"/>
      <c r="J244" s="551" t="s">
        <v>110</v>
      </c>
      <c r="K244" s="565">
        <v>40879</v>
      </c>
      <c r="L244" s="555" t="s">
        <v>53</v>
      </c>
      <c r="M244" s="551">
        <v>135</v>
      </c>
      <c r="N244" s="603">
        <v>9</v>
      </c>
      <c r="O244" s="595">
        <v>9953.5</v>
      </c>
      <c r="P244" s="596">
        <v>1402</v>
      </c>
      <c r="Q244" s="614">
        <f>1709882.25+1194489.75+708906.5+376327+70+197271.5+73341.5+70692.5+50480.5+9953.5</f>
        <v>4391415</v>
      </c>
      <c r="R244" s="615">
        <f>195314+135261+80447+45395+10+25625+10302+10950+7727+1402</f>
        <v>512433</v>
      </c>
      <c r="S244" s="561">
        <v>40935</v>
      </c>
    </row>
    <row r="245" spans="1:19" ht="9.75" customHeight="1">
      <c r="A245" s="648"/>
      <c r="B245" s="648"/>
      <c r="C245" s="573"/>
      <c r="D245" s="625" t="s">
        <v>292</v>
      </c>
      <c r="E245" s="575"/>
      <c r="F245" s="634" t="s">
        <v>54</v>
      </c>
      <c r="G245" s="635" t="s">
        <v>110</v>
      </c>
      <c r="H245" s="551" t="s">
        <v>113</v>
      </c>
      <c r="I245" s="551"/>
      <c r="J245" s="551" t="s">
        <v>110</v>
      </c>
      <c r="K245" s="565">
        <v>40879</v>
      </c>
      <c r="L245" s="555" t="s">
        <v>53</v>
      </c>
      <c r="M245" s="551">
        <v>135</v>
      </c>
      <c r="N245" s="603">
        <v>10</v>
      </c>
      <c r="O245" s="656">
        <v>3058</v>
      </c>
      <c r="P245" s="596">
        <v>435</v>
      </c>
      <c r="Q245" s="657">
        <f>1709882.25+1194489.75+708906.5+376327+70+197271.5+73341.5+70692.5+50480.5+9953.5+3058</f>
        <v>4394473</v>
      </c>
      <c r="R245" s="615">
        <f>195314+135261+80447+45395+10+25625+10302+10950+7727+1402+435</f>
        <v>512868</v>
      </c>
      <c r="S245" s="561">
        <v>40942</v>
      </c>
    </row>
    <row r="246" spans="1:19" ht="9.75" customHeight="1">
      <c r="A246" s="616"/>
      <c r="B246" s="616"/>
      <c r="C246" s="527"/>
      <c r="D246" s="531" t="s">
        <v>292</v>
      </c>
      <c r="E246" s="532"/>
      <c r="F246" s="529" t="s">
        <v>54</v>
      </c>
      <c r="G246" s="632" t="s">
        <v>110</v>
      </c>
      <c r="H246" s="551" t="s">
        <v>113</v>
      </c>
      <c r="I246" s="551"/>
      <c r="J246" s="551" t="s">
        <v>110</v>
      </c>
      <c r="K246" s="554">
        <v>40879</v>
      </c>
      <c r="L246" s="555" t="s">
        <v>53</v>
      </c>
      <c r="M246" s="551">
        <v>135</v>
      </c>
      <c r="N246" s="603">
        <v>11</v>
      </c>
      <c r="O246" s="618">
        <v>838</v>
      </c>
      <c r="P246" s="619">
        <v>131</v>
      </c>
      <c r="Q246" s="620">
        <f>1709882.25+1194489.75+708906.5+376327+70+197271.5+73341.5+70692.5+50480.5+9953.5+3058+838</f>
        <v>4395311</v>
      </c>
      <c r="R246" s="589">
        <f>195314+135261+80447+45395+10+25625+10302+10950+7727+1402+435+131</f>
        <v>512999</v>
      </c>
      <c r="S246" s="561">
        <v>40949</v>
      </c>
    </row>
    <row r="247" spans="1:19" ht="9.75" customHeight="1">
      <c r="A247" s="616"/>
      <c r="B247" s="616"/>
      <c r="C247" s="527"/>
      <c r="D247" s="531" t="s">
        <v>292</v>
      </c>
      <c r="E247" s="532"/>
      <c r="F247" s="529" t="s">
        <v>54</v>
      </c>
      <c r="G247" s="632" t="s">
        <v>110</v>
      </c>
      <c r="H247" s="551" t="s">
        <v>113</v>
      </c>
      <c r="I247" s="551"/>
      <c r="J247" s="551" t="s">
        <v>110</v>
      </c>
      <c r="K247" s="565">
        <v>40879</v>
      </c>
      <c r="L247" s="555" t="s">
        <v>53</v>
      </c>
      <c r="M247" s="551">
        <v>135</v>
      </c>
      <c r="N247" s="603">
        <v>2</v>
      </c>
      <c r="O247" s="604">
        <v>28</v>
      </c>
      <c r="P247" s="605">
        <v>4</v>
      </c>
      <c r="Q247" s="606">
        <f>1709882.25+1194489.75+708906.5+376327+70+197271.5+73341.5+70692.5+50480.5+9953.5+3058+838+28</f>
        <v>4395339</v>
      </c>
      <c r="R247" s="607">
        <f>195314+135261+80447+45395+10+25625+10302+10950+7727+1402+435+131+4</f>
        <v>513003</v>
      </c>
      <c r="S247" s="561">
        <v>40956</v>
      </c>
    </row>
    <row r="248" spans="1:19" ht="9.75" customHeight="1">
      <c r="A248" s="562"/>
      <c r="B248" s="562"/>
      <c r="C248" s="562"/>
      <c r="D248" s="562"/>
      <c r="E248" s="563"/>
      <c r="F248" s="599" t="s">
        <v>54</v>
      </c>
      <c r="G248" s="600" t="s">
        <v>148</v>
      </c>
      <c r="H248" s="555" t="s">
        <v>112</v>
      </c>
      <c r="I248" s="555"/>
      <c r="J248" s="555" t="s">
        <v>148</v>
      </c>
      <c r="K248" s="565">
        <v>40900</v>
      </c>
      <c r="L248" s="555" t="s">
        <v>52</v>
      </c>
      <c r="M248" s="601">
        <v>14</v>
      </c>
      <c r="N248" s="638">
        <v>2</v>
      </c>
      <c r="O248" s="666">
        <v>19458.5</v>
      </c>
      <c r="P248" s="667">
        <v>1850</v>
      </c>
      <c r="Q248" s="668">
        <f>43848.5+19458.5</f>
        <v>63307</v>
      </c>
      <c r="R248" s="615">
        <f>3764+1850</f>
        <v>5614</v>
      </c>
      <c r="S248" s="570">
        <v>40907</v>
      </c>
    </row>
    <row r="249" spans="1:19" ht="9.75" customHeight="1">
      <c r="A249" s="571"/>
      <c r="B249" s="571"/>
      <c r="C249" s="571"/>
      <c r="D249" s="571"/>
      <c r="E249" s="572"/>
      <c r="F249" s="599" t="s">
        <v>54</v>
      </c>
      <c r="G249" s="600" t="s">
        <v>148</v>
      </c>
      <c r="H249" s="555" t="s">
        <v>112</v>
      </c>
      <c r="I249" s="555"/>
      <c r="J249" s="555" t="s">
        <v>148</v>
      </c>
      <c r="K249" s="565">
        <v>40900</v>
      </c>
      <c r="L249" s="555" t="s">
        <v>52</v>
      </c>
      <c r="M249" s="601">
        <v>14</v>
      </c>
      <c r="N249" s="638">
        <v>5</v>
      </c>
      <c r="O249" s="666">
        <v>5447</v>
      </c>
      <c r="P249" s="667">
        <v>752</v>
      </c>
      <c r="Q249" s="668">
        <f>43848.5+19458.5+4777+1091+5447</f>
        <v>74622</v>
      </c>
      <c r="R249" s="615">
        <f>3764+1850+439+142+752</f>
        <v>6947</v>
      </c>
      <c r="S249" s="561">
        <v>40928</v>
      </c>
    </row>
    <row r="250" spans="1:19" ht="9.75" customHeight="1">
      <c r="A250" s="571"/>
      <c r="B250" s="571"/>
      <c r="C250" s="571"/>
      <c r="D250" s="571"/>
      <c r="E250" s="572"/>
      <c r="F250" s="599" t="s">
        <v>54</v>
      </c>
      <c r="G250" s="600" t="s">
        <v>148</v>
      </c>
      <c r="H250" s="555" t="s">
        <v>112</v>
      </c>
      <c r="I250" s="555"/>
      <c r="J250" s="555" t="s">
        <v>148</v>
      </c>
      <c r="K250" s="565">
        <v>40900</v>
      </c>
      <c r="L250" s="555" t="s">
        <v>52</v>
      </c>
      <c r="M250" s="661">
        <v>14</v>
      </c>
      <c r="N250" s="643">
        <v>3</v>
      </c>
      <c r="O250" s="662">
        <v>4777</v>
      </c>
      <c r="P250" s="663">
        <v>439</v>
      </c>
      <c r="Q250" s="664">
        <f>43848.5+19458.5+4777</f>
        <v>68084</v>
      </c>
      <c r="R250" s="665">
        <f>3764+1850+439</f>
        <v>6053</v>
      </c>
      <c r="S250" s="561">
        <v>40914</v>
      </c>
    </row>
    <row r="251" spans="1:19" ht="9.75" customHeight="1">
      <c r="A251" s="571"/>
      <c r="B251" s="571"/>
      <c r="C251" s="571"/>
      <c r="D251" s="571"/>
      <c r="E251" s="572"/>
      <c r="F251" s="599" t="s">
        <v>54</v>
      </c>
      <c r="G251" s="600" t="s">
        <v>148</v>
      </c>
      <c r="H251" s="555" t="s">
        <v>112</v>
      </c>
      <c r="I251" s="555"/>
      <c r="J251" s="555" t="s">
        <v>148</v>
      </c>
      <c r="K251" s="565">
        <v>40900</v>
      </c>
      <c r="L251" s="555" t="s">
        <v>52</v>
      </c>
      <c r="M251" s="601">
        <v>14</v>
      </c>
      <c r="N251" s="638">
        <v>6</v>
      </c>
      <c r="O251" s="678">
        <v>2629</v>
      </c>
      <c r="P251" s="679">
        <v>413</v>
      </c>
      <c r="Q251" s="680">
        <v>77251</v>
      </c>
      <c r="R251" s="681">
        <v>7360</v>
      </c>
      <c r="S251" s="561">
        <v>40935</v>
      </c>
    </row>
    <row r="252" spans="1:19" ht="9.75" customHeight="1">
      <c r="A252" s="527"/>
      <c r="B252" s="527"/>
      <c r="C252" s="527"/>
      <c r="D252" s="527"/>
      <c r="E252" s="533"/>
      <c r="F252" s="529" t="s">
        <v>54</v>
      </c>
      <c r="G252" s="617" t="s">
        <v>148</v>
      </c>
      <c r="H252" s="555" t="s">
        <v>112</v>
      </c>
      <c r="I252" s="555"/>
      <c r="J252" s="555" t="s">
        <v>148</v>
      </c>
      <c r="K252" s="554">
        <v>40900</v>
      </c>
      <c r="L252" s="555" t="s">
        <v>52</v>
      </c>
      <c r="M252" s="601">
        <v>14</v>
      </c>
      <c r="N252" s="556">
        <v>7</v>
      </c>
      <c r="O252" s="618">
        <v>1105</v>
      </c>
      <c r="P252" s="619">
        <v>159</v>
      </c>
      <c r="Q252" s="620">
        <f>43848.5+19458.5+4777+1091+5447+2629+1105</f>
        <v>78356</v>
      </c>
      <c r="R252" s="589">
        <f>3764+1850+439+142+752+413+159</f>
        <v>7519</v>
      </c>
      <c r="S252" s="561">
        <v>40949</v>
      </c>
    </row>
    <row r="253" spans="1:19" ht="9.75" customHeight="1">
      <c r="A253" s="571"/>
      <c r="B253" s="571"/>
      <c r="C253" s="571"/>
      <c r="D253" s="571"/>
      <c r="E253" s="572"/>
      <c r="F253" s="599" t="s">
        <v>54</v>
      </c>
      <c r="G253" s="600" t="s">
        <v>148</v>
      </c>
      <c r="H253" s="555" t="s">
        <v>112</v>
      </c>
      <c r="I253" s="555"/>
      <c r="J253" s="555" t="s">
        <v>148</v>
      </c>
      <c r="K253" s="565">
        <v>40900</v>
      </c>
      <c r="L253" s="555" t="s">
        <v>52</v>
      </c>
      <c r="M253" s="601">
        <v>14</v>
      </c>
      <c r="N253" s="638">
        <v>4</v>
      </c>
      <c r="O253" s="669">
        <v>1091</v>
      </c>
      <c r="P253" s="670">
        <v>142</v>
      </c>
      <c r="Q253" s="671">
        <f>43848.5+19458.5+4777+1091</f>
        <v>69175</v>
      </c>
      <c r="R253" s="615">
        <f>3764+1850+439+142</f>
        <v>6195</v>
      </c>
      <c r="S253" s="561">
        <v>40921</v>
      </c>
    </row>
    <row r="254" spans="1:19" ht="9.75" customHeight="1">
      <c r="A254" s="527"/>
      <c r="B254" s="534"/>
      <c r="C254" s="527"/>
      <c r="D254" s="527"/>
      <c r="E254" s="533"/>
      <c r="F254" s="533"/>
      <c r="G254" s="550" t="s">
        <v>693</v>
      </c>
      <c r="H254" s="553" t="s">
        <v>706</v>
      </c>
      <c r="I254" s="552"/>
      <c r="J254" s="553" t="s">
        <v>699</v>
      </c>
      <c r="K254" s="554">
        <v>40662</v>
      </c>
      <c r="L254" s="555" t="s">
        <v>68</v>
      </c>
      <c r="M254" s="551">
        <v>19</v>
      </c>
      <c r="N254" s="693">
        <v>24</v>
      </c>
      <c r="O254" s="557">
        <v>3801.5</v>
      </c>
      <c r="P254" s="558">
        <v>760</v>
      </c>
      <c r="Q254" s="559">
        <f>101742.25+50164.5+51750+9401+13450.5+18562.5+28682+16047.5+15912+8384+5213+12043+3980+9461+6303.5+6271+2673+6139.5+1849.5+1109+1307+722+1188+3801.5</f>
        <v>376157.25</v>
      </c>
      <c r="R254" s="560">
        <f>8064+3844+5093+985+1765+2797+3793+2133+2232+1161+795+1735+578+1201+748+718+399+835+292+171+327+184+297+760</f>
        <v>40907</v>
      </c>
      <c r="S254" s="561">
        <v>40949</v>
      </c>
    </row>
    <row r="255" spans="1:19" ht="9.75" customHeight="1">
      <c r="A255" s="527"/>
      <c r="B255" s="534"/>
      <c r="C255" s="527"/>
      <c r="D255" s="527"/>
      <c r="E255" s="533"/>
      <c r="F255" s="533"/>
      <c r="G255" s="550" t="s">
        <v>693</v>
      </c>
      <c r="H255" s="553" t="s">
        <v>706</v>
      </c>
      <c r="I255" s="552"/>
      <c r="J255" s="553" t="s">
        <v>699</v>
      </c>
      <c r="K255" s="565">
        <v>40662</v>
      </c>
      <c r="L255" s="555" t="s">
        <v>68</v>
      </c>
      <c r="M255" s="551">
        <v>19</v>
      </c>
      <c r="N255" s="556">
        <v>1</v>
      </c>
      <c r="O255" s="566">
        <v>560</v>
      </c>
      <c r="P255" s="567">
        <v>248</v>
      </c>
      <c r="Q255" s="568">
        <f>101742.25+50164.5+51750+9401+13450.5+18562.5+28682+16047.5+15912+8384+5213+12043+3980+9461+6303.5+6271+2673+6139.5+1849.5+1109+1307+722+1188+3801.5+560</f>
        <v>376717.25</v>
      </c>
      <c r="R255" s="569">
        <f>8064+3844+5093+985+1765+2797+3793+2133+2232+1161+795+1735+578+1201+748+718+399+835+292+171+327+184+297+760+248</f>
        <v>41155</v>
      </c>
      <c r="S255" s="561">
        <v>40956</v>
      </c>
    </row>
    <row r="256" spans="1:19" ht="9.75" customHeight="1">
      <c r="A256" s="562"/>
      <c r="B256" s="562"/>
      <c r="C256" s="562"/>
      <c r="D256" s="562"/>
      <c r="E256" s="583"/>
      <c r="F256" s="583"/>
      <c r="G256" s="600" t="s">
        <v>214</v>
      </c>
      <c r="H256" s="602" t="s">
        <v>216</v>
      </c>
      <c r="I256" s="555" t="s">
        <v>95</v>
      </c>
      <c r="J256" s="602" t="s">
        <v>215</v>
      </c>
      <c r="K256" s="565">
        <v>40907</v>
      </c>
      <c r="L256" s="555" t="s">
        <v>10</v>
      </c>
      <c r="M256" s="601">
        <v>64</v>
      </c>
      <c r="N256" s="638">
        <v>1</v>
      </c>
      <c r="O256" s="566">
        <v>361708</v>
      </c>
      <c r="P256" s="567">
        <v>32009</v>
      </c>
      <c r="Q256" s="568">
        <v>361708</v>
      </c>
      <c r="R256" s="569">
        <v>32009</v>
      </c>
      <c r="S256" s="570">
        <v>40907</v>
      </c>
    </row>
    <row r="257" spans="1:19" ht="9.75" customHeight="1">
      <c r="A257" s="571"/>
      <c r="B257" s="571"/>
      <c r="C257" s="571"/>
      <c r="D257" s="571"/>
      <c r="E257" s="572"/>
      <c r="F257" s="572"/>
      <c r="G257" s="600" t="s">
        <v>214</v>
      </c>
      <c r="H257" s="602" t="s">
        <v>216</v>
      </c>
      <c r="I257" s="555" t="s">
        <v>95</v>
      </c>
      <c r="J257" s="602" t="s">
        <v>215</v>
      </c>
      <c r="K257" s="565">
        <v>40907</v>
      </c>
      <c r="L257" s="555" t="s">
        <v>10</v>
      </c>
      <c r="M257" s="661">
        <v>64</v>
      </c>
      <c r="N257" s="643">
        <v>2</v>
      </c>
      <c r="O257" s="579">
        <f>235686+726</f>
        <v>236412</v>
      </c>
      <c r="P257" s="580">
        <f>20261+65</f>
        <v>20326</v>
      </c>
      <c r="Q257" s="581">
        <f>361708+235686+726</f>
        <v>598120</v>
      </c>
      <c r="R257" s="582">
        <f>32009+20261+65</f>
        <v>52335</v>
      </c>
      <c r="S257" s="561">
        <v>40914</v>
      </c>
    </row>
    <row r="258" spans="1:19" ht="9.75" customHeight="1">
      <c r="A258" s="571"/>
      <c r="B258" s="571"/>
      <c r="C258" s="571"/>
      <c r="D258" s="571"/>
      <c r="E258" s="572"/>
      <c r="F258" s="572"/>
      <c r="G258" s="600" t="s">
        <v>214</v>
      </c>
      <c r="H258" s="602" t="s">
        <v>216</v>
      </c>
      <c r="I258" s="555" t="s">
        <v>95</v>
      </c>
      <c r="J258" s="602" t="s">
        <v>215</v>
      </c>
      <c r="K258" s="565">
        <v>40907</v>
      </c>
      <c r="L258" s="555" t="s">
        <v>10</v>
      </c>
      <c r="M258" s="601">
        <v>64</v>
      </c>
      <c r="N258" s="638">
        <v>3</v>
      </c>
      <c r="O258" s="566">
        <v>63689</v>
      </c>
      <c r="P258" s="567">
        <v>5622</v>
      </c>
      <c r="Q258" s="568">
        <v>661809</v>
      </c>
      <c r="R258" s="569">
        <v>57957</v>
      </c>
      <c r="S258" s="561">
        <v>40921</v>
      </c>
    </row>
    <row r="259" spans="1:19" ht="9.75" customHeight="1">
      <c r="A259" s="530" t="s">
        <v>223</v>
      </c>
      <c r="B259" s="539">
        <v>3</v>
      </c>
      <c r="C259" s="527"/>
      <c r="D259" s="531" t="s">
        <v>292</v>
      </c>
      <c r="E259" s="533"/>
      <c r="F259" s="533"/>
      <c r="G259" s="550" t="s">
        <v>654</v>
      </c>
      <c r="H259" s="553" t="s">
        <v>126</v>
      </c>
      <c r="I259" s="553" t="s">
        <v>89</v>
      </c>
      <c r="J259" s="553" t="s">
        <v>655</v>
      </c>
      <c r="K259" s="554">
        <v>39955</v>
      </c>
      <c r="L259" s="555" t="s">
        <v>68</v>
      </c>
      <c r="M259" s="551">
        <v>88</v>
      </c>
      <c r="N259" s="556">
        <v>29</v>
      </c>
      <c r="O259" s="557">
        <v>3565</v>
      </c>
      <c r="P259" s="558">
        <v>713</v>
      </c>
      <c r="Q259" s="559">
        <f>253985.25+197941+176827+129137.25+73306.5+36496.5+20735+12653+3137+3974+3108+6704.75+3312+1885+643+108556.75+31027+8660.5+1196.5+2137+5262+2140+4040+1780+1188+1780+43620+1424+1780+3565</f>
        <v>1142002</v>
      </c>
      <c r="R259" s="560">
        <f>26929+21325+23241+17550+10624+6388+4049+2644+577+882+663+1354+764+460+116+14641+4967+986+117+181+1185+535+1010+445+297+445+10905+356+356+713</f>
        <v>154705</v>
      </c>
      <c r="S259" s="561">
        <v>40949</v>
      </c>
    </row>
    <row r="260" spans="1:19" ht="9.75" customHeight="1">
      <c r="A260" s="229" t="s">
        <v>223</v>
      </c>
      <c r="B260" s="571"/>
      <c r="C260" s="608"/>
      <c r="D260" s="571"/>
      <c r="E260" s="598" t="s">
        <v>55</v>
      </c>
      <c r="F260" s="563"/>
      <c r="G260" s="564" t="s">
        <v>445</v>
      </c>
      <c r="H260" s="553" t="s">
        <v>449</v>
      </c>
      <c r="I260" s="553" t="s">
        <v>89</v>
      </c>
      <c r="J260" s="553" t="s">
        <v>453</v>
      </c>
      <c r="K260" s="565">
        <v>39864</v>
      </c>
      <c r="L260" s="555" t="s">
        <v>68</v>
      </c>
      <c r="M260" s="551">
        <v>55</v>
      </c>
      <c r="N260" s="621">
        <v>37</v>
      </c>
      <c r="O260" s="566">
        <v>2852</v>
      </c>
      <c r="P260" s="567">
        <v>713</v>
      </c>
      <c r="Q260" s="568">
        <f>190777.5+154065+60826.5+20820+23589+29712+19396.5+16102+12940+11034+3005+981+1140+40+98.25+284+1000+300+220+1211.5+155+156+63+1780+5228+1780+450+952+145+640+2445+2376+2376+2376+4752+2376+2852</f>
        <v>578444.25</v>
      </c>
      <c r="R260" s="569">
        <f>20518+17650+7809+3283+4115+5826+3911+3770+2981+2505+653+199+194+8+18+60+100+75+44+292+22+22+19+445+1307+445+75+238+29+128+383+594+594+594+1188+594+713</f>
        <v>81401</v>
      </c>
      <c r="S260" s="561">
        <v>40928</v>
      </c>
    </row>
    <row r="261" spans="1:19" ht="9.75" customHeight="1">
      <c r="A261" s="530" t="s">
        <v>223</v>
      </c>
      <c r="B261" s="527"/>
      <c r="C261" s="616"/>
      <c r="D261" s="527"/>
      <c r="E261" s="528" t="s">
        <v>55</v>
      </c>
      <c r="F261" s="532"/>
      <c r="G261" s="550" t="s">
        <v>445</v>
      </c>
      <c r="H261" s="553" t="s">
        <v>449</v>
      </c>
      <c r="I261" s="553" t="s">
        <v>89</v>
      </c>
      <c r="J261" s="553" t="s">
        <v>453</v>
      </c>
      <c r="K261" s="554">
        <v>39864</v>
      </c>
      <c r="L261" s="555" t="s">
        <v>68</v>
      </c>
      <c r="M261" s="551">
        <v>55</v>
      </c>
      <c r="N261" s="621">
        <v>37</v>
      </c>
      <c r="O261" s="557">
        <v>1780</v>
      </c>
      <c r="P261" s="558">
        <v>356</v>
      </c>
      <c r="Q261" s="559">
        <f>190777.5+154065+60826.5+20820+23589+29712+19396.5+16102+12940+11034+3005+981+1140+40+98.25+284+1000+300+220+1211.5+155+156+63+1780+5228+1780+450+952+145+640+2445+2376+2376+2376+4752+2376+2852+1780</f>
        <v>580224.25</v>
      </c>
      <c r="R261" s="560">
        <f>20518+17650+7809+3283+4115+5826+3911+3770+2981+2505+653+199+194+8+18+60+100+75+44+292+22+22+19+445+1307+445+75+238+29+128+383+594+594+594+1188+594+713+356</f>
        <v>81757</v>
      </c>
      <c r="S261" s="561">
        <v>40949</v>
      </c>
    </row>
    <row r="262" spans="1:19" ht="9.75" customHeight="1">
      <c r="A262" s="608"/>
      <c r="B262" s="608"/>
      <c r="C262" s="571"/>
      <c r="D262" s="608"/>
      <c r="E262" s="572"/>
      <c r="F262" s="572"/>
      <c r="G262" s="628" t="s">
        <v>291</v>
      </c>
      <c r="H262" s="602" t="s">
        <v>296</v>
      </c>
      <c r="I262" s="555" t="s">
        <v>260</v>
      </c>
      <c r="J262" s="602" t="s">
        <v>295</v>
      </c>
      <c r="K262" s="565">
        <v>40830</v>
      </c>
      <c r="L262" s="555" t="s">
        <v>10</v>
      </c>
      <c r="M262" s="661">
        <v>62</v>
      </c>
      <c r="N262" s="643">
        <v>11</v>
      </c>
      <c r="O262" s="579">
        <v>1610</v>
      </c>
      <c r="P262" s="580">
        <v>249</v>
      </c>
      <c r="Q262" s="581">
        <f>1594092+1610</f>
        <v>1595702</v>
      </c>
      <c r="R262" s="582">
        <f>149626+249</f>
        <v>149875</v>
      </c>
      <c r="S262" s="561">
        <v>40914</v>
      </c>
    </row>
    <row r="263" spans="1:19" ht="9.75" customHeight="1">
      <c r="A263" s="597"/>
      <c r="B263" s="597"/>
      <c r="C263" s="562"/>
      <c r="D263" s="597"/>
      <c r="E263" s="583"/>
      <c r="F263" s="583"/>
      <c r="G263" s="628" t="s">
        <v>291</v>
      </c>
      <c r="H263" s="602" t="s">
        <v>296</v>
      </c>
      <c r="I263" s="555" t="s">
        <v>260</v>
      </c>
      <c r="J263" s="602" t="s">
        <v>295</v>
      </c>
      <c r="K263" s="565">
        <v>40830</v>
      </c>
      <c r="L263" s="555" t="s">
        <v>10</v>
      </c>
      <c r="M263" s="601">
        <v>62</v>
      </c>
      <c r="N263" s="638">
        <v>11</v>
      </c>
      <c r="O263" s="566">
        <v>1190</v>
      </c>
      <c r="P263" s="567">
        <v>170</v>
      </c>
      <c r="Q263" s="568">
        <v>1594092</v>
      </c>
      <c r="R263" s="569">
        <v>149626</v>
      </c>
      <c r="S263" s="570">
        <v>40907</v>
      </c>
    </row>
    <row r="264" spans="1:19" ht="9.75" customHeight="1">
      <c r="A264" s="616"/>
      <c r="B264" s="616"/>
      <c r="C264" s="527"/>
      <c r="D264" s="622"/>
      <c r="E264" s="533"/>
      <c r="F264" s="533"/>
      <c r="G264" s="696" t="s">
        <v>291</v>
      </c>
      <c r="H264" s="602" t="s">
        <v>296</v>
      </c>
      <c r="I264" s="555" t="s">
        <v>260</v>
      </c>
      <c r="J264" s="602" t="s">
        <v>295</v>
      </c>
      <c r="K264" s="554">
        <v>40830</v>
      </c>
      <c r="L264" s="555" t="s">
        <v>10</v>
      </c>
      <c r="M264" s="601">
        <v>62</v>
      </c>
      <c r="N264" s="638">
        <v>14</v>
      </c>
      <c r="O264" s="557">
        <v>1165</v>
      </c>
      <c r="P264" s="558">
        <v>167</v>
      </c>
      <c r="Q264" s="559">
        <v>1597479</v>
      </c>
      <c r="R264" s="560">
        <v>150144</v>
      </c>
      <c r="S264" s="561">
        <v>40949</v>
      </c>
    </row>
    <row r="265" spans="1:19" ht="9.75" customHeight="1">
      <c r="A265" s="608"/>
      <c r="B265" s="608"/>
      <c r="C265" s="571"/>
      <c r="D265" s="608"/>
      <c r="E265" s="572"/>
      <c r="F265" s="572"/>
      <c r="G265" s="628" t="s">
        <v>291</v>
      </c>
      <c r="H265" s="602" t="s">
        <v>296</v>
      </c>
      <c r="I265" s="555" t="s">
        <v>260</v>
      </c>
      <c r="J265" s="602" t="s">
        <v>295</v>
      </c>
      <c r="K265" s="565">
        <v>40830</v>
      </c>
      <c r="L265" s="555" t="s">
        <v>10</v>
      </c>
      <c r="M265" s="601">
        <v>62</v>
      </c>
      <c r="N265" s="638">
        <v>13</v>
      </c>
      <c r="O265" s="566">
        <v>612</v>
      </c>
      <c r="P265" s="567">
        <v>102</v>
      </c>
      <c r="Q265" s="568">
        <v>1596314</v>
      </c>
      <c r="R265" s="569">
        <v>149977</v>
      </c>
      <c r="S265" s="561">
        <v>40921</v>
      </c>
    </row>
    <row r="266" spans="1:19" ht="9.75" customHeight="1">
      <c r="A266" s="229" t="s">
        <v>223</v>
      </c>
      <c r="B266" s="571"/>
      <c r="C266" s="231" t="s">
        <v>292</v>
      </c>
      <c r="D266" s="571"/>
      <c r="E266" s="598" t="s">
        <v>55</v>
      </c>
      <c r="F266" s="563"/>
      <c r="G266" s="564" t="s">
        <v>358</v>
      </c>
      <c r="H266" s="553" t="s">
        <v>360</v>
      </c>
      <c r="I266" s="552"/>
      <c r="J266" s="553" t="s">
        <v>359</v>
      </c>
      <c r="K266" s="565">
        <v>39829</v>
      </c>
      <c r="L266" s="555" t="s">
        <v>68</v>
      </c>
      <c r="M266" s="577">
        <v>65</v>
      </c>
      <c r="N266" s="578">
        <v>44</v>
      </c>
      <c r="O266" s="579">
        <v>1424</v>
      </c>
      <c r="P266" s="580">
        <v>356</v>
      </c>
      <c r="Q266" s="581">
        <f>237023+244842+160469+47021+21536+18820+18020.5+26440+10695+9162.5+9870+6322+1787+2032+757+348+420.5+158+4053+339.5+3161.5+1729.5+752+1417+1780+64+1208+952+552+139.5+544+40+8072+1780+1424+1780+440+1780+1188+2612+952+712+4276+1424</f>
        <v>858895.5</v>
      </c>
      <c r="R266" s="582">
        <f>25678+28966+21290+6590+4890+3520+3479+4786+1907+1716+2388+1533+368+541+126+70+67+48+991+81+743+414+155+169+445+16+302+238+117+23+48+12+2018+445+356+445+55+445+297+653+238+178+1069+356</f>
        <v>118272</v>
      </c>
      <c r="S266" s="561">
        <v>40914</v>
      </c>
    </row>
    <row r="267" spans="1:19" ht="9.75" customHeight="1">
      <c r="A267" s="530" t="s">
        <v>223</v>
      </c>
      <c r="B267" s="534"/>
      <c r="C267" s="527"/>
      <c r="D267" s="531" t="s">
        <v>292</v>
      </c>
      <c r="E267" s="528" t="s">
        <v>55</v>
      </c>
      <c r="F267" s="533"/>
      <c r="G267" s="550" t="s">
        <v>696</v>
      </c>
      <c r="H267" s="553" t="s">
        <v>360</v>
      </c>
      <c r="I267" s="552" t="s">
        <v>89</v>
      </c>
      <c r="J267" s="553" t="s">
        <v>701</v>
      </c>
      <c r="K267" s="554">
        <v>40515</v>
      </c>
      <c r="L267" s="555" t="s">
        <v>68</v>
      </c>
      <c r="M267" s="551">
        <v>62</v>
      </c>
      <c r="N267" s="693">
        <v>34</v>
      </c>
      <c r="O267" s="557">
        <v>1188</v>
      </c>
      <c r="P267" s="558">
        <v>238</v>
      </c>
      <c r="Q267" s="559">
        <f>353151+191248+132731.5+71376+47862+26248.5+19265+34650.5+35095.5+42312+25849+10987+7528+3248+2395.5+3280.5+3141.5+4280+3042+1597+6128+4358+2107+777+4230+4335.5+1718.5+594+1978+2020+7747.5+1188+329+1188</f>
        <v>1057987</v>
      </c>
      <c r="R267" s="560">
        <f>34650+19352+14525+10591+7581+5012+3223+6065+6865+6589+3930+1782+1091+624+468+512+688+987+804+306+1395+991+478+166+1058+1084+430+148+474+261+1593+297+63+238</f>
        <v>134321</v>
      </c>
      <c r="S267" s="561">
        <v>40949</v>
      </c>
    </row>
    <row r="268" spans="1:19" ht="9.75" customHeight="1">
      <c r="A268" s="562"/>
      <c r="B268" s="562"/>
      <c r="C268" s="562"/>
      <c r="D268" s="231" t="s">
        <v>292</v>
      </c>
      <c r="E268" s="583"/>
      <c r="F268" s="583"/>
      <c r="G268" s="584" t="s">
        <v>65</v>
      </c>
      <c r="H268" s="585" t="s">
        <v>91</v>
      </c>
      <c r="I268" s="659" t="s">
        <v>94</v>
      </c>
      <c r="J268" s="585" t="s">
        <v>65</v>
      </c>
      <c r="K268" s="629">
        <v>40837</v>
      </c>
      <c r="L268" s="555" t="s">
        <v>12</v>
      </c>
      <c r="M268" s="551">
        <v>112</v>
      </c>
      <c r="N268" s="556">
        <v>11</v>
      </c>
      <c r="O268" s="618">
        <v>4349</v>
      </c>
      <c r="P268" s="619">
        <v>651</v>
      </c>
      <c r="Q268" s="620">
        <v>2336338</v>
      </c>
      <c r="R268" s="589">
        <v>245652</v>
      </c>
      <c r="S268" s="570">
        <v>40907</v>
      </c>
    </row>
    <row r="269" spans="1:19" ht="9.75" customHeight="1">
      <c r="A269" s="571"/>
      <c r="B269" s="571"/>
      <c r="C269" s="571"/>
      <c r="D269" s="231" t="s">
        <v>292</v>
      </c>
      <c r="E269" s="572"/>
      <c r="F269" s="572"/>
      <c r="G269" s="584" t="s">
        <v>65</v>
      </c>
      <c r="H269" s="585" t="s">
        <v>91</v>
      </c>
      <c r="I269" s="659" t="s">
        <v>94</v>
      </c>
      <c r="J269" s="585" t="s">
        <v>65</v>
      </c>
      <c r="K269" s="629">
        <v>40837</v>
      </c>
      <c r="L269" s="555" t="s">
        <v>12</v>
      </c>
      <c r="M269" s="551">
        <v>112</v>
      </c>
      <c r="N269" s="556">
        <v>14</v>
      </c>
      <c r="O269" s="595">
        <v>3941</v>
      </c>
      <c r="P269" s="596">
        <v>554</v>
      </c>
      <c r="Q269" s="614">
        <v>2341282</v>
      </c>
      <c r="R269" s="615">
        <v>246371</v>
      </c>
      <c r="S269" s="561">
        <v>40928</v>
      </c>
    </row>
    <row r="270" spans="1:19" ht="9.75" customHeight="1">
      <c r="A270" s="571"/>
      <c r="B270" s="571"/>
      <c r="C270" s="571"/>
      <c r="D270" s="231" t="s">
        <v>292</v>
      </c>
      <c r="E270" s="572"/>
      <c r="F270" s="572"/>
      <c r="G270" s="584" t="s">
        <v>65</v>
      </c>
      <c r="H270" s="585" t="s">
        <v>91</v>
      </c>
      <c r="I270" s="659" t="s">
        <v>94</v>
      </c>
      <c r="J270" s="585" t="s">
        <v>65</v>
      </c>
      <c r="K270" s="629">
        <v>40837</v>
      </c>
      <c r="L270" s="555" t="s">
        <v>12</v>
      </c>
      <c r="M270" s="577">
        <v>112</v>
      </c>
      <c r="N270" s="590">
        <v>12</v>
      </c>
      <c r="O270" s="591">
        <v>1003</v>
      </c>
      <c r="P270" s="592">
        <v>165</v>
      </c>
      <c r="Q270" s="593">
        <v>2337341</v>
      </c>
      <c r="R270" s="594">
        <v>245817</v>
      </c>
      <c r="S270" s="561">
        <v>40914</v>
      </c>
    </row>
    <row r="271" spans="1:19" ht="9.75" customHeight="1">
      <c r="A271" s="530" t="s">
        <v>223</v>
      </c>
      <c r="B271" s="534"/>
      <c r="C271" s="364">
        <v>2</v>
      </c>
      <c r="D271" s="527"/>
      <c r="E271" s="532"/>
      <c r="F271" s="533"/>
      <c r="G271" s="550" t="s">
        <v>745</v>
      </c>
      <c r="H271" s="551" t="s">
        <v>126</v>
      </c>
      <c r="I271" s="552" t="s">
        <v>89</v>
      </c>
      <c r="J271" s="553" t="s">
        <v>750</v>
      </c>
      <c r="K271" s="565">
        <v>40228</v>
      </c>
      <c r="L271" s="555" t="s">
        <v>68</v>
      </c>
      <c r="M271" s="551">
        <v>88</v>
      </c>
      <c r="N271" s="556">
        <v>1</v>
      </c>
      <c r="O271" s="566">
        <v>1782</v>
      </c>
      <c r="P271" s="567">
        <v>356</v>
      </c>
      <c r="Q271" s="568">
        <f>848677.55+469+99+661+35+1782+1782+1782</f>
        <v>855287.55</v>
      </c>
      <c r="R271" s="569">
        <f>99747+71+15+97+3+445+445+356</f>
        <v>101179</v>
      </c>
      <c r="S271" s="561">
        <v>40956</v>
      </c>
    </row>
    <row r="272" spans="1:19" ht="9.75" customHeight="1">
      <c r="A272" s="562"/>
      <c r="B272" s="562"/>
      <c r="C272" s="562"/>
      <c r="D272" s="562"/>
      <c r="E272" s="563"/>
      <c r="F272" s="563"/>
      <c r="G272" s="564" t="s">
        <v>154</v>
      </c>
      <c r="H272" s="551" t="s">
        <v>194</v>
      </c>
      <c r="I272" s="552" t="s">
        <v>79</v>
      </c>
      <c r="J272" s="553" t="s">
        <v>155</v>
      </c>
      <c r="K272" s="629">
        <v>40781</v>
      </c>
      <c r="L272" s="555" t="s">
        <v>68</v>
      </c>
      <c r="M272" s="551">
        <v>25</v>
      </c>
      <c r="N272" s="556">
        <v>16</v>
      </c>
      <c r="O272" s="566">
        <v>3841</v>
      </c>
      <c r="P272" s="567">
        <v>653</v>
      </c>
      <c r="Q272" s="568">
        <f>144733+112570+56967.5+34113.5+30823.5+33890.5+41306+25896.5+24762.5+2776+2376+588+744+1788+950.5+3841</f>
        <v>518126.5</v>
      </c>
      <c r="R272" s="569">
        <f>11669+10065+5619+3946+3929+4284+5351+3682+3657+420+594+249+124+397+237+653</f>
        <v>54876</v>
      </c>
      <c r="S272" s="570">
        <v>40907</v>
      </c>
    </row>
    <row r="273" spans="1:19" ht="9.75" customHeight="1">
      <c r="A273" s="571"/>
      <c r="B273" s="571"/>
      <c r="C273" s="571"/>
      <c r="D273" s="571"/>
      <c r="E273" s="572"/>
      <c r="F273" s="572"/>
      <c r="G273" s="564" t="s">
        <v>154</v>
      </c>
      <c r="H273" s="551" t="s">
        <v>194</v>
      </c>
      <c r="I273" s="552" t="s">
        <v>79</v>
      </c>
      <c r="J273" s="553" t="s">
        <v>155</v>
      </c>
      <c r="K273" s="629">
        <v>40781</v>
      </c>
      <c r="L273" s="555" t="s">
        <v>68</v>
      </c>
      <c r="M273" s="577">
        <v>25</v>
      </c>
      <c r="N273" s="578">
        <v>17</v>
      </c>
      <c r="O273" s="579">
        <v>1705</v>
      </c>
      <c r="P273" s="580">
        <v>271</v>
      </c>
      <c r="Q273" s="581">
        <f>144733+112570+56967.5+34113.5+30823.5+33890.5+41306+25896.5+24762.5+2776+2376+588+744+1788+950.5+3841+1705</f>
        <v>519831.5</v>
      </c>
      <c r="R273" s="582">
        <f>11669+10065+5619+3946+3929+4284+5351+3682+3657+420+594+249+124+397+237+653+271</f>
        <v>55147</v>
      </c>
      <c r="S273" s="561">
        <v>40914</v>
      </c>
    </row>
    <row r="274" spans="1:19" ht="9.75" customHeight="1">
      <c r="A274" s="571"/>
      <c r="B274" s="571"/>
      <c r="C274" s="571"/>
      <c r="D274" s="571"/>
      <c r="E274" s="572"/>
      <c r="F274" s="572"/>
      <c r="G274" s="564" t="s">
        <v>154</v>
      </c>
      <c r="H274" s="551" t="s">
        <v>194</v>
      </c>
      <c r="I274" s="552" t="s">
        <v>79</v>
      </c>
      <c r="J274" s="553" t="s">
        <v>155</v>
      </c>
      <c r="K274" s="629">
        <v>40781</v>
      </c>
      <c r="L274" s="555" t="s">
        <v>68</v>
      </c>
      <c r="M274" s="551">
        <v>25</v>
      </c>
      <c r="N274" s="556">
        <v>17</v>
      </c>
      <c r="O274" s="566">
        <v>854</v>
      </c>
      <c r="P274" s="567">
        <v>126</v>
      </c>
      <c r="Q274" s="568">
        <f>144733+112570+56967.5+34113.5+30823.5+33890.5+41306+25896.5+24762.5+2776+2376+588+744+1788+950.5+3841+1705+854</f>
        <v>520685.5</v>
      </c>
      <c r="R274" s="569">
        <f>11669+10065+5619+3946+3929+4284+5351+3682+3657+420+594+249+124+397+237+653+271+126</f>
        <v>55273</v>
      </c>
      <c r="S274" s="561">
        <v>40921</v>
      </c>
    </row>
    <row r="275" spans="1:19" ht="9.75" customHeight="1">
      <c r="A275" s="530" t="s">
        <v>223</v>
      </c>
      <c r="B275" s="539">
        <v>3</v>
      </c>
      <c r="C275" s="364">
        <v>2</v>
      </c>
      <c r="D275" s="531" t="s">
        <v>292</v>
      </c>
      <c r="E275" s="533"/>
      <c r="F275" s="533"/>
      <c r="G275" s="652" t="s">
        <v>742</v>
      </c>
      <c r="H275" s="551" t="s">
        <v>92</v>
      </c>
      <c r="I275" s="585" t="s">
        <v>94</v>
      </c>
      <c r="J275" s="585" t="s">
        <v>743</v>
      </c>
      <c r="K275" s="565">
        <v>40682</v>
      </c>
      <c r="L275" s="555" t="s">
        <v>12</v>
      </c>
      <c r="M275" s="551">
        <v>115</v>
      </c>
      <c r="N275" s="556">
        <v>1</v>
      </c>
      <c r="O275" s="618">
        <v>320</v>
      </c>
      <c r="P275" s="619">
        <v>20</v>
      </c>
      <c r="Q275" s="620">
        <v>13128382</v>
      </c>
      <c r="R275" s="589">
        <v>1170803</v>
      </c>
      <c r="S275" s="561">
        <v>40956</v>
      </c>
    </row>
    <row r="276" spans="1:19" ht="9.75" customHeight="1">
      <c r="A276" s="571"/>
      <c r="B276" s="571"/>
      <c r="C276" s="571"/>
      <c r="D276" s="571"/>
      <c r="E276" s="598" t="s">
        <v>55</v>
      </c>
      <c r="F276" s="563"/>
      <c r="G276" s="564" t="s">
        <v>355</v>
      </c>
      <c r="H276" s="553" t="s">
        <v>365</v>
      </c>
      <c r="I276" s="553" t="s">
        <v>85</v>
      </c>
      <c r="J276" s="553" t="s">
        <v>362</v>
      </c>
      <c r="K276" s="565">
        <v>40347</v>
      </c>
      <c r="L276" s="555" t="s">
        <v>68</v>
      </c>
      <c r="M276" s="551">
        <v>66</v>
      </c>
      <c r="N276" s="556">
        <v>34</v>
      </c>
      <c r="O276" s="566">
        <v>2138.5</v>
      </c>
      <c r="P276" s="567">
        <v>535</v>
      </c>
      <c r="Q276" s="568">
        <f>478213+7083+3309.5+6055+4900+8378+4378.5+2349+3103+2074+7679.5+6108+2991.5+2180+2234+642+2775.5+1757+1151+3382+60+1782+2851+1188+713+286+2138.5+2138.5</f>
        <v>561900.5</v>
      </c>
      <c r="R276" s="569">
        <f>55327+1259+553+1133+756+1285+650+408+682+334+1688+1394+539+483+475+201+677+260+202+852+20+445+712+297+178+67+535+535</f>
        <v>71947</v>
      </c>
      <c r="S276" s="561">
        <v>40921</v>
      </c>
    </row>
    <row r="277" spans="1:19" ht="9.75" customHeight="1">
      <c r="A277" s="571"/>
      <c r="B277" s="571"/>
      <c r="C277" s="571"/>
      <c r="D277" s="571"/>
      <c r="E277" s="598" t="s">
        <v>55</v>
      </c>
      <c r="F277" s="563"/>
      <c r="G277" s="564" t="s">
        <v>355</v>
      </c>
      <c r="H277" s="553" t="s">
        <v>365</v>
      </c>
      <c r="I277" s="553" t="s">
        <v>85</v>
      </c>
      <c r="J277" s="553" t="s">
        <v>362</v>
      </c>
      <c r="K277" s="565">
        <v>40347</v>
      </c>
      <c r="L277" s="555" t="s">
        <v>68</v>
      </c>
      <c r="M277" s="577">
        <v>66</v>
      </c>
      <c r="N277" s="578">
        <v>34</v>
      </c>
      <c r="O277" s="579">
        <v>2138.5</v>
      </c>
      <c r="P277" s="580">
        <v>535</v>
      </c>
      <c r="Q277" s="581">
        <f>478213+7083+3309.5+6055+4900+8378+4378.5+2349+3103+2074+7679.5+6108+2991.5+2180+2234+642+2775.5+1757+1151+3382+60+1782+2851+1188+713+286+2138.5</f>
        <v>559762</v>
      </c>
      <c r="R277" s="582">
        <f>55327+1259+553+1133+756+1285+650+408+682+334+1688+1394+539+483+475+201+677+260+202+852+20+445+712+297+178+67+535</f>
        <v>71412</v>
      </c>
      <c r="S277" s="561">
        <v>40914</v>
      </c>
    </row>
    <row r="278" spans="1:19" ht="9.75" customHeight="1">
      <c r="A278" s="571"/>
      <c r="B278" s="571"/>
      <c r="C278" s="571"/>
      <c r="D278" s="571"/>
      <c r="E278" s="598" t="s">
        <v>55</v>
      </c>
      <c r="F278" s="563"/>
      <c r="G278" s="564" t="s">
        <v>355</v>
      </c>
      <c r="H278" s="553" t="s">
        <v>365</v>
      </c>
      <c r="I278" s="553" t="s">
        <v>85</v>
      </c>
      <c r="J278" s="553" t="s">
        <v>362</v>
      </c>
      <c r="K278" s="565">
        <v>40347</v>
      </c>
      <c r="L278" s="555" t="s">
        <v>68</v>
      </c>
      <c r="M278" s="551">
        <v>66</v>
      </c>
      <c r="N278" s="556">
        <v>34</v>
      </c>
      <c r="O278" s="566">
        <v>2138.5</v>
      </c>
      <c r="P278" s="567">
        <v>535</v>
      </c>
      <c r="Q278" s="568">
        <f>478213+7083+3309.5+6055+4900+8378+4378.5+2349+3103+2074+7679.5+6108+2991.5+2180+2234+642+2775.5+1757+1151+3382+60+1782+2851+1188+713+286+2138.5+2138.5+2138.5</f>
        <v>564039</v>
      </c>
      <c r="R278" s="569">
        <f>55327+1259+553+1133+756+1285+650+408+682+334+1688+1394+539+483+475+201+677+260+202+852+20+445+712+297+178+67+535+535+535</f>
        <v>72482</v>
      </c>
      <c r="S278" s="561">
        <v>40928</v>
      </c>
    </row>
    <row r="279" spans="1:19" ht="9.75" customHeight="1">
      <c r="A279" s="527"/>
      <c r="B279" s="534"/>
      <c r="C279" s="527"/>
      <c r="D279" s="527"/>
      <c r="E279" s="533"/>
      <c r="F279" s="529" t="s">
        <v>54</v>
      </c>
      <c r="G279" s="550" t="s">
        <v>698</v>
      </c>
      <c r="H279" s="553" t="s">
        <v>704</v>
      </c>
      <c r="I279" s="552"/>
      <c r="J279" s="553" t="s">
        <v>698</v>
      </c>
      <c r="K279" s="554">
        <v>40620</v>
      </c>
      <c r="L279" s="555" t="s">
        <v>68</v>
      </c>
      <c r="M279" s="551">
        <v>18</v>
      </c>
      <c r="N279" s="693">
        <v>13</v>
      </c>
      <c r="O279" s="557">
        <v>713</v>
      </c>
      <c r="P279" s="558">
        <v>143</v>
      </c>
      <c r="Q279" s="559">
        <f>39453.5+44225+30459.5+23462+13989+8982.5+6844+2370+4120+2588+1886+275+713</f>
        <v>179367.5</v>
      </c>
      <c r="R279" s="560">
        <f>5345+6302+4080+3427+1964+1106+1298+366+730+571+456+44+143</f>
        <v>25832</v>
      </c>
      <c r="S279" s="561">
        <v>40949</v>
      </c>
    </row>
    <row r="280" spans="1:19" ht="9.75" customHeight="1">
      <c r="A280" s="229" t="s">
        <v>223</v>
      </c>
      <c r="B280" s="230">
        <v>3</v>
      </c>
      <c r="C280" s="210">
        <v>2</v>
      </c>
      <c r="D280" s="571"/>
      <c r="E280" s="598" t="s">
        <v>55</v>
      </c>
      <c r="F280" s="572"/>
      <c r="G280" s="564" t="s">
        <v>383</v>
      </c>
      <c r="H280" s="551" t="s">
        <v>217</v>
      </c>
      <c r="I280" s="552" t="s">
        <v>94</v>
      </c>
      <c r="J280" s="553" t="s">
        <v>384</v>
      </c>
      <c r="K280" s="565">
        <v>40921</v>
      </c>
      <c r="L280" s="555" t="s">
        <v>12</v>
      </c>
      <c r="M280" s="551">
        <v>101</v>
      </c>
      <c r="N280" s="556">
        <v>1</v>
      </c>
      <c r="O280" s="595">
        <v>2186377</v>
      </c>
      <c r="P280" s="596">
        <v>209171</v>
      </c>
      <c r="Q280" s="588">
        <v>2186377</v>
      </c>
      <c r="R280" s="589">
        <v>209171</v>
      </c>
      <c r="S280" s="561">
        <v>40921</v>
      </c>
    </row>
    <row r="281" spans="1:19" ht="9.75" customHeight="1">
      <c r="A281" s="562"/>
      <c r="B281" s="571"/>
      <c r="C281" s="571"/>
      <c r="D281" s="571"/>
      <c r="E281" s="598" t="s">
        <v>55</v>
      </c>
      <c r="F281" s="572"/>
      <c r="G281" s="584" t="s">
        <v>198</v>
      </c>
      <c r="H281" s="551" t="s">
        <v>208</v>
      </c>
      <c r="I281" s="585" t="s">
        <v>94</v>
      </c>
      <c r="J281" s="585" t="s">
        <v>198</v>
      </c>
      <c r="K281" s="565">
        <v>40606</v>
      </c>
      <c r="L281" s="555" t="s">
        <v>12</v>
      </c>
      <c r="M281" s="551">
        <v>104</v>
      </c>
      <c r="N281" s="556">
        <v>47</v>
      </c>
      <c r="O281" s="595">
        <v>1197</v>
      </c>
      <c r="P281" s="596">
        <v>189</v>
      </c>
      <c r="Q281" s="614">
        <v>1288731</v>
      </c>
      <c r="R281" s="615">
        <v>133813</v>
      </c>
      <c r="S281" s="561">
        <v>40935</v>
      </c>
    </row>
    <row r="282" spans="1:19" ht="9.75" customHeight="1">
      <c r="A282" s="562"/>
      <c r="B282" s="562"/>
      <c r="C282" s="562"/>
      <c r="D282" s="562"/>
      <c r="E282" s="598" t="s">
        <v>55</v>
      </c>
      <c r="F282" s="583"/>
      <c r="G282" s="584" t="s">
        <v>198</v>
      </c>
      <c r="H282" s="551" t="s">
        <v>208</v>
      </c>
      <c r="I282" s="585" t="s">
        <v>94</v>
      </c>
      <c r="J282" s="585" t="s">
        <v>198</v>
      </c>
      <c r="K282" s="565">
        <v>40606</v>
      </c>
      <c r="L282" s="555" t="s">
        <v>12</v>
      </c>
      <c r="M282" s="551">
        <v>104</v>
      </c>
      <c r="N282" s="556">
        <v>44</v>
      </c>
      <c r="O282" s="586">
        <v>297</v>
      </c>
      <c r="P282" s="587">
        <v>59</v>
      </c>
      <c r="Q282" s="588">
        <v>1287202</v>
      </c>
      <c r="R282" s="589">
        <v>133558</v>
      </c>
      <c r="S282" s="570">
        <v>40907</v>
      </c>
    </row>
    <row r="283" spans="1:19" ht="9.75" customHeight="1">
      <c r="A283" s="571"/>
      <c r="B283" s="571"/>
      <c r="C283" s="571"/>
      <c r="D283" s="562"/>
      <c r="E283" s="598" t="s">
        <v>55</v>
      </c>
      <c r="F283" s="583"/>
      <c r="G283" s="584" t="s">
        <v>197</v>
      </c>
      <c r="H283" s="551" t="s">
        <v>209</v>
      </c>
      <c r="I283" s="585" t="s">
        <v>94</v>
      </c>
      <c r="J283" s="585" t="s">
        <v>201</v>
      </c>
      <c r="K283" s="565">
        <v>40823</v>
      </c>
      <c r="L283" s="555" t="s">
        <v>12</v>
      </c>
      <c r="M283" s="577">
        <v>105</v>
      </c>
      <c r="N283" s="590">
        <v>14</v>
      </c>
      <c r="O283" s="591">
        <v>2631</v>
      </c>
      <c r="P283" s="592">
        <v>391</v>
      </c>
      <c r="Q283" s="593">
        <v>1141116</v>
      </c>
      <c r="R283" s="594">
        <v>122643</v>
      </c>
      <c r="S283" s="561">
        <v>40914</v>
      </c>
    </row>
    <row r="284" spans="1:19" ht="9.75" customHeight="1">
      <c r="A284" s="562"/>
      <c r="B284" s="562"/>
      <c r="C284" s="562"/>
      <c r="D284" s="562"/>
      <c r="E284" s="598" t="s">
        <v>55</v>
      </c>
      <c r="F284" s="583"/>
      <c r="G284" s="584" t="s">
        <v>197</v>
      </c>
      <c r="H284" s="551" t="s">
        <v>209</v>
      </c>
      <c r="I284" s="585" t="s">
        <v>94</v>
      </c>
      <c r="J284" s="585" t="s">
        <v>201</v>
      </c>
      <c r="K284" s="565">
        <v>40823</v>
      </c>
      <c r="L284" s="555" t="s">
        <v>12</v>
      </c>
      <c r="M284" s="551">
        <v>105</v>
      </c>
      <c r="N284" s="556">
        <v>13</v>
      </c>
      <c r="O284" s="618">
        <v>781</v>
      </c>
      <c r="P284" s="619">
        <v>132</v>
      </c>
      <c r="Q284" s="620">
        <v>1138485</v>
      </c>
      <c r="R284" s="589">
        <v>122252</v>
      </c>
      <c r="S284" s="570">
        <v>40907</v>
      </c>
    </row>
    <row r="285" spans="1:19" ht="9.75" customHeight="1">
      <c r="A285" s="571"/>
      <c r="B285" s="571"/>
      <c r="C285" s="571"/>
      <c r="D285" s="562"/>
      <c r="E285" s="598" t="s">
        <v>55</v>
      </c>
      <c r="F285" s="583"/>
      <c r="G285" s="584" t="s">
        <v>197</v>
      </c>
      <c r="H285" s="551" t="s">
        <v>209</v>
      </c>
      <c r="I285" s="585" t="s">
        <v>94</v>
      </c>
      <c r="J285" s="585" t="s">
        <v>201</v>
      </c>
      <c r="K285" s="565">
        <v>40823</v>
      </c>
      <c r="L285" s="555" t="s">
        <v>12</v>
      </c>
      <c r="M285" s="551">
        <v>105</v>
      </c>
      <c r="N285" s="556">
        <v>15</v>
      </c>
      <c r="O285" s="595">
        <v>639</v>
      </c>
      <c r="P285" s="596">
        <v>93</v>
      </c>
      <c r="Q285" s="620">
        <v>1141755</v>
      </c>
      <c r="R285" s="589">
        <v>122736</v>
      </c>
      <c r="S285" s="561">
        <v>40921</v>
      </c>
    </row>
    <row r="286" spans="1:19" ht="9.75" customHeight="1">
      <c r="A286" s="571"/>
      <c r="B286" s="571"/>
      <c r="C286" s="571"/>
      <c r="D286" s="571"/>
      <c r="E286" s="572"/>
      <c r="F286" s="599" t="s">
        <v>54</v>
      </c>
      <c r="G286" s="635" t="s">
        <v>304</v>
      </c>
      <c r="H286" s="551" t="s">
        <v>112</v>
      </c>
      <c r="I286" s="551"/>
      <c r="J286" s="552" t="s">
        <v>111</v>
      </c>
      <c r="K286" s="565">
        <v>40886</v>
      </c>
      <c r="L286" s="555" t="s">
        <v>52</v>
      </c>
      <c r="M286" s="585">
        <v>8</v>
      </c>
      <c r="N286" s="638">
        <v>5</v>
      </c>
      <c r="O286" s="669">
        <v>1920</v>
      </c>
      <c r="P286" s="670">
        <v>379</v>
      </c>
      <c r="Q286" s="671">
        <f>11392+5145+695+1862+1920</f>
        <v>21014</v>
      </c>
      <c r="R286" s="615">
        <f>1392+701+109+241+379</f>
        <v>2822</v>
      </c>
      <c r="S286" s="561">
        <v>40921</v>
      </c>
    </row>
    <row r="287" spans="1:19" ht="9.75" customHeight="1">
      <c r="A287" s="562"/>
      <c r="B287" s="562"/>
      <c r="C287" s="562"/>
      <c r="D287" s="562"/>
      <c r="E287" s="563"/>
      <c r="F287" s="599" t="s">
        <v>54</v>
      </c>
      <c r="G287" s="635" t="s">
        <v>304</v>
      </c>
      <c r="H287" s="551" t="s">
        <v>112</v>
      </c>
      <c r="I287" s="551"/>
      <c r="J287" s="552" t="s">
        <v>111</v>
      </c>
      <c r="K287" s="565">
        <v>40886</v>
      </c>
      <c r="L287" s="555" t="s">
        <v>52</v>
      </c>
      <c r="M287" s="585">
        <v>8</v>
      </c>
      <c r="N287" s="638">
        <v>4</v>
      </c>
      <c r="O287" s="666">
        <v>1862</v>
      </c>
      <c r="P287" s="667">
        <v>241</v>
      </c>
      <c r="Q287" s="668">
        <f>11392+5145+695+1862</f>
        <v>19094</v>
      </c>
      <c r="R287" s="615">
        <f>1392+701+109+241</f>
        <v>2443</v>
      </c>
      <c r="S287" s="570">
        <v>40907</v>
      </c>
    </row>
    <row r="288" spans="1:19" ht="9.75" customHeight="1">
      <c r="A288" s="527"/>
      <c r="B288" s="527"/>
      <c r="C288" s="527"/>
      <c r="D288" s="527"/>
      <c r="E288" s="533"/>
      <c r="F288" s="529" t="s">
        <v>54</v>
      </c>
      <c r="G288" s="632" t="s">
        <v>304</v>
      </c>
      <c r="H288" s="551" t="s">
        <v>112</v>
      </c>
      <c r="I288" s="551"/>
      <c r="J288" s="552" t="s">
        <v>111</v>
      </c>
      <c r="K288" s="554">
        <v>40886</v>
      </c>
      <c r="L288" s="555" t="s">
        <v>52</v>
      </c>
      <c r="M288" s="585">
        <v>8</v>
      </c>
      <c r="N288" s="556">
        <v>6</v>
      </c>
      <c r="O288" s="618">
        <v>1782</v>
      </c>
      <c r="P288" s="619">
        <v>356</v>
      </c>
      <c r="Q288" s="620">
        <f>11392+5145+695+1862+1920+1782</f>
        <v>22796</v>
      </c>
      <c r="R288" s="589">
        <f>1392+701+109+241+379+356</f>
        <v>3178</v>
      </c>
      <c r="S288" s="561">
        <v>40949</v>
      </c>
    </row>
    <row r="289" spans="1:19" ht="9.75" customHeight="1">
      <c r="A289" s="571"/>
      <c r="B289" s="562"/>
      <c r="C289" s="571"/>
      <c r="D289" s="571"/>
      <c r="E289" s="572"/>
      <c r="F289" s="572"/>
      <c r="G289" s="564" t="s">
        <v>190</v>
      </c>
      <c r="H289" s="553" t="s">
        <v>195</v>
      </c>
      <c r="I289" s="552" t="s">
        <v>79</v>
      </c>
      <c r="J289" s="553" t="s">
        <v>192</v>
      </c>
      <c r="K289" s="565">
        <v>40816</v>
      </c>
      <c r="L289" s="555" t="s">
        <v>68</v>
      </c>
      <c r="M289" s="551">
        <v>25</v>
      </c>
      <c r="N289" s="556">
        <v>3</v>
      </c>
      <c r="O289" s="566">
        <v>5134</v>
      </c>
      <c r="P289" s="567">
        <v>664</v>
      </c>
      <c r="Q289" s="568">
        <f>80510.5+53296+49611.5+29276.5+2781+46429+5648+1635+6908.5+15320.5+732+943+3320+5134</f>
        <v>301545.5</v>
      </c>
      <c r="R289" s="569">
        <f>8978+6079+6067+4144+482+6937+761+224+842+1960+107+134+565+664</f>
        <v>37944</v>
      </c>
      <c r="S289" s="561">
        <v>40928</v>
      </c>
    </row>
    <row r="290" spans="1:19" ht="9.75" customHeight="1">
      <c r="A290" s="562"/>
      <c r="B290" s="562"/>
      <c r="C290" s="562"/>
      <c r="D290" s="562"/>
      <c r="E290" s="563"/>
      <c r="F290" s="563"/>
      <c r="G290" s="564" t="s">
        <v>190</v>
      </c>
      <c r="H290" s="551" t="s">
        <v>195</v>
      </c>
      <c r="I290" s="552" t="s">
        <v>79</v>
      </c>
      <c r="J290" s="553" t="s">
        <v>192</v>
      </c>
      <c r="K290" s="565">
        <v>40816</v>
      </c>
      <c r="L290" s="555" t="s">
        <v>68</v>
      </c>
      <c r="M290" s="551">
        <v>25</v>
      </c>
      <c r="N290" s="556">
        <v>3</v>
      </c>
      <c r="O290" s="566">
        <v>3320</v>
      </c>
      <c r="P290" s="567">
        <v>565</v>
      </c>
      <c r="Q290" s="568">
        <f>80510.5+53296+49611.5+29276.5+2781+46429+5648+1635+6908.5+15320.5+732+943+3320</f>
        <v>296411.5</v>
      </c>
      <c r="R290" s="569">
        <f>8978+6079+6067+4144+482+6937+761+224+842+1960+107+134+565</f>
        <v>37280</v>
      </c>
      <c r="S290" s="570">
        <v>40907</v>
      </c>
    </row>
    <row r="291" spans="1:19" ht="9.75" customHeight="1">
      <c r="A291" s="527"/>
      <c r="B291" s="534"/>
      <c r="C291" s="527"/>
      <c r="D291" s="527"/>
      <c r="E291" s="533"/>
      <c r="F291" s="533"/>
      <c r="G291" s="550" t="s">
        <v>190</v>
      </c>
      <c r="H291" s="553" t="s">
        <v>195</v>
      </c>
      <c r="I291" s="552" t="s">
        <v>79</v>
      </c>
      <c r="J291" s="553" t="s">
        <v>192</v>
      </c>
      <c r="K291" s="554">
        <v>40816</v>
      </c>
      <c r="L291" s="555" t="s">
        <v>68</v>
      </c>
      <c r="M291" s="551">
        <v>25</v>
      </c>
      <c r="N291" s="556">
        <v>3</v>
      </c>
      <c r="O291" s="557">
        <v>495</v>
      </c>
      <c r="P291" s="558">
        <v>72</v>
      </c>
      <c r="Q291" s="559">
        <f>80510.5+53296+49611.5+29276.5+2781+46429+5648+1635+6908.5+15320.5+732+943+3320+5134+495</f>
        <v>302040.5</v>
      </c>
      <c r="R291" s="560">
        <f>8978+6079+6067+4144+482+6937+761+224+842+1960+107+134+565+664+72</f>
        <v>38016</v>
      </c>
      <c r="S291" s="561">
        <v>40949</v>
      </c>
    </row>
    <row r="292" spans="1:19" ht="9.75" customHeight="1">
      <c r="A292" s="571"/>
      <c r="B292" s="571"/>
      <c r="C292" s="571"/>
      <c r="D292" s="571"/>
      <c r="E292" s="598" t="s">
        <v>55</v>
      </c>
      <c r="F292" s="563"/>
      <c r="G292" s="564" t="s">
        <v>354</v>
      </c>
      <c r="H292" s="553" t="s">
        <v>126</v>
      </c>
      <c r="I292" s="552" t="s">
        <v>397</v>
      </c>
      <c r="J292" s="553" t="s">
        <v>354</v>
      </c>
      <c r="K292" s="565">
        <v>40641</v>
      </c>
      <c r="L292" s="555" t="s">
        <v>68</v>
      </c>
      <c r="M292" s="551">
        <v>137</v>
      </c>
      <c r="N292" s="556">
        <v>38</v>
      </c>
      <c r="O292" s="566">
        <v>4989.5</v>
      </c>
      <c r="P292" s="567">
        <v>1248</v>
      </c>
      <c r="Q292" s="568">
        <f>1093950.25+883807.25+882248.49+232093.5+101981.5+57830.5+19947.5+33359.5+10973.5+10465+4630+3501.5+10659+9758.5+3633+5790+6145.5+1329.5+1868.5+1128+2980.5+1299.5+16988+15449+14138+200+1908+7960+4871+1544.5+1533+891+3175+713+425+224+993+2318+3705+4989.5</f>
        <v>3461405.49</v>
      </c>
      <c r="R292" s="569">
        <f>103570+88345+90215+25333+13427+8958+3731+5336+2366+2057+997+691+1831+2140+654+1021+736+207+401+189+424+234+4142+3841+3526+40+471+1991+1218+386+96+56+735+178+84+42+228+1120+1571+1248</f>
        <v>373836</v>
      </c>
      <c r="S292" s="561">
        <v>40928</v>
      </c>
    </row>
    <row r="293" spans="1:19" ht="9.75" customHeight="1">
      <c r="A293" s="571"/>
      <c r="B293" s="571"/>
      <c r="C293" s="571"/>
      <c r="D293" s="571"/>
      <c r="E293" s="598" t="s">
        <v>55</v>
      </c>
      <c r="F293" s="563"/>
      <c r="G293" s="564" t="s">
        <v>354</v>
      </c>
      <c r="H293" s="553" t="s">
        <v>126</v>
      </c>
      <c r="I293" s="552" t="s">
        <v>397</v>
      </c>
      <c r="J293" s="553" t="s">
        <v>354</v>
      </c>
      <c r="K293" s="565">
        <v>40641</v>
      </c>
      <c r="L293" s="555" t="s">
        <v>68</v>
      </c>
      <c r="M293" s="551">
        <v>137</v>
      </c>
      <c r="N293" s="556">
        <v>38</v>
      </c>
      <c r="O293" s="566">
        <v>3705</v>
      </c>
      <c r="P293" s="567">
        <v>1571</v>
      </c>
      <c r="Q293" s="568">
        <f>1093950.25+883807.25+882248.49+232093.5+101981.5+57830.5+19947.5+33359.5+10973.5+10465+4630+3501.5+10659+9758.5+3633+5790+6145.5+1329.5+1868.5+1128+2980.5+1299.5+16988+15449+14138+200+1908+7960+4871+1544.5+1533+891+3175+713+425+224+993+2318+3705</f>
        <v>3456415.99</v>
      </c>
      <c r="R293" s="569">
        <f>103570+88345+90215+25333+13427+8958+3731+5336+2366+2057+997+691+1831+2140+654+1021+736+207+401+189+424+234+4142+3841+3526+40+471+1991+1218+386+96+56+735+178+84+42+228+1120+1571</f>
        <v>372588</v>
      </c>
      <c r="S293" s="561">
        <v>40921</v>
      </c>
    </row>
    <row r="294" spans="1:19" ht="9.75" customHeight="1">
      <c r="A294" s="571"/>
      <c r="B294" s="571"/>
      <c r="C294" s="571"/>
      <c r="D294" s="571"/>
      <c r="E294" s="598" t="s">
        <v>55</v>
      </c>
      <c r="F294" s="563"/>
      <c r="G294" s="564" t="s">
        <v>354</v>
      </c>
      <c r="H294" s="553" t="s">
        <v>126</v>
      </c>
      <c r="I294" s="552"/>
      <c r="J294" s="553" t="s">
        <v>354</v>
      </c>
      <c r="K294" s="565">
        <v>40641</v>
      </c>
      <c r="L294" s="555" t="s">
        <v>68</v>
      </c>
      <c r="M294" s="577">
        <v>137</v>
      </c>
      <c r="N294" s="578">
        <v>38</v>
      </c>
      <c r="O294" s="579">
        <v>2318</v>
      </c>
      <c r="P294" s="580">
        <v>1120</v>
      </c>
      <c r="Q294" s="581">
        <f>1093950.25+883807.25+882248.49+232093.5+101981.5+57830.5+19947.5+33359.5+10973.5+10465+4630+3501.5+10659+9758.5+3633+5790+6145.5+1329.5+1868.5+1128+2980.5+1299.5+16988+15449+14138+200+1908+7960+4871+1544.5+1533+891+3175+713+425+224+993+2318</f>
        <v>3452710.99</v>
      </c>
      <c r="R294" s="582">
        <f>103570+88345+90215+25333+13427+8958+3731+5336+2366+2057+997+691+1831+2140+654+1021+736+207+401+189+424+234+4142+3841+3526+40+471+1991+1218+386+96+56+735+178+84+42+228+1120</f>
        <v>371017</v>
      </c>
      <c r="S294" s="561">
        <v>40914</v>
      </c>
    </row>
    <row r="295" spans="1:19" ht="9.75" customHeight="1">
      <c r="A295" s="530" t="s">
        <v>223</v>
      </c>
      <c r="B295" s="534"/>
      <c r="C295" s="364">
        <v>2</v>
      </c>
      <c r="D295" s="527"/>
      <c r="E295" s="532"/>
      <c r="F295" s="533"/>
      <c r="G295" s="550" t="s">
        <v>744</v>
      </c>
      <c r="H295" s="551" t="s">
        <v>126</v>
      </c>
      <c r="I295" s="552" t="s">
        <v>89</v>
      </c>
      <c r="J295" s="553" t="s">
        <v>749</v>
      </c>
      <c r="K295" s="565">
        <v>40760</v>
      </c>
      <c r="L295" s="555" t="s">
        <v>68</v>
      </c>
      <c r="M295" s="551">
        <v>101</v>
      </c>
      <c r="N295" s="556">
        <v>1</v>
      </c>
      <c r="O295" s="566">
        <v>1782</v>
      </c>
      <c r="P295" s="567">
        <v>356</v>
      </c>
      <c r="Q295" s="568">
        <f>1123387+667871.5+450599+390225.5+158633+89754+30860+15969.5+11575.5+6763.5+3494.5+5145+1782+1782+950.5+4039+1425.5+1782</f>
        <v>2966039</v>
      </c>
      <c r="R295" s="569">
        <f>108166+64485+43907+41233+19918+12468+4923+2605+2337+1591+622+1207+446+446+238+1009+356+356</f>
        <v>306313</v>
      </c>
      <c r="S295" s="561">
        <v>40956</v>
      </c>
    </row>
    <row r="296" spans="1:19" ht="9.75" customHeight="1">
      <c r="A296" s="571"/>
      <c r="B296" s="571"/>
      <c r="C296" s="571"/>
      <c r="D296" s="571"/>
      <c r="E296" s="572"/>
      <c r="F296" s="599" t="s">
        <v>54</v>
      </c>
      <c r="G296" s="564" t="s">
        <v>356</v>
      </c>
      <c r="H296" s="553" t="s">
        <v>366</v>
      </c>
      <c r="I296" s="552"/>
      <c r="J296" s="553" t="s">
        <v>356</v>
      </c>
      <c r="K296" s="565">
        <v>40795</v>
      </c>
      <c r="L296" s="555" t="s">
        <v>68</v>
      </c>
      <c r="M296" s="577">
        <v>3</v>
      </c>
      <c r="N296" s="578">
        <v>8</v>
      </c>
      <c r="O296" s="579">
        <v>1782</v>
      </c>
      <c r="P296" s="580">
        <v>446</v>
      </c>
      <c r="Q296" s="581">
        <f>4125+2511+398+1048+854+482+594+1782</f>
        <v>11794</v>
      </c>
      <c r="R296" s="582">
        <f>422+287+52+100+134+61+149+446</f>
        <v>1651</v>
      </c>
      <c r="S296" s="561">
        <v>40914</v>
      </c>
    </row>
    <row r="297" spans="1:19" ht="9.75" customHeight="1">
      <c r="A297" s="527"/>
      <c r="B297" s="527"/>
      <c r="C297" s="527"/>
      <c r="D297" s="527"/>
      <c r="E297" s="533"/>
      <c r="F297" s="529" t="s">
        <v>54</v>
      </c>
      <c r="G297" s="550" t="s">
        <v>356</v>
      </c>
      <c r="H297" s="553" t="s">
        <v>366</v>
      </c>
      <c r="I297" s="552"/>
      <c r="J297" s="553" t="s">
        <v>356</v>
      </c>
      <c r="K297" s="554">
        <v>40795</v>
      </c>
      <c r="L297" s="555" t="s">
        <v>68</v>
      </c>
      <c r="M297" s="551">
        <v>3</v>
      </c>
      <c r="N297" s="556">
        <v>8</v>
      </c>
      <c r="O297" s="557">
        <v>713</v>
      </c>
      <c r="P297" s="558">
        <v>143</v>
      </c>
      <c r="Q297" s="559">
        <f>4125+2511+398+1048+854+482+594+1782+713</f>
        <v>12507</v>
      </c>
      <c r="R297" s="560">
        <f>422+287+52+100+134+61+149+446+143</f>
        <v>1794</v>
      </c>
      <c r="S297" s="561">
        <v>40949</v>
      </c>
    </row>
    <row r="298" spans="1:19" ht="9.75" customHeight="1">
      <c r="A298" s="571"/>
      <c r="B298" s="571"/>
      <c r="C298" s="571"/>
      <c r="D298" s="571"/>
      <c r="E298" s="572"/>
      <c r="F298" s="572"/>
      <c r="G298" s="584" t="s">
        <v>108</v>
      </c>
      <c r="H298" s="551" t="s">
        <v>125</v>
      </c>
      <c r="I298" s="585" t="s">
        <v>124</v>
      </c>
      <c r="J298" s="585" t="s">
        <v>109</v>
      </c>
      <c r="K298" s="565">
        <v>40879</v>
      </c>
      <c r="L298" s="555" t="s">
        <v>12</v>
      </c>
      <c r="M298" s="577">
        <v>38</v>
      </c>
      <c r="N298" s="590">
        <v>6</v>
      </c>
      <c r="O298" s="591">
        <v>10036</v>
      </c>
      <c r="P298" s="592">
        <v>1553</v>
      </c>
      <c r="Q298" s="593">
        <v>481544</v>
      </c>
      <c r="R298" s="594">
        <v>44903</v>
      </c>
      <c r="S298" s="561">
        <v>40914</v>
      </c>
    </row>
    <row r="299" spans="1:19" ht="9.75" customHeight="1">
      <c r="A299" s="562"/>
      <c r="B299" s="562"/>
      <c r="C299" s="562"/>
      <c r="D299" s="562"/>
      <c r="E299" s="583"/>
      <c r="F299" s="583"/>
      <c r="G299" s="584" t="s">
        <v>108</v>
      </c>
      <c r="H299" s="551" t="s">
        <v>125</v>
      </c>
      <c r="I299" s="585" t="s">
        <v>124</v>
      </c>
      <c r="J299" s="585" t="s">
        <v>109</v>
      </c>
      <c r="K299" s="565">
        <v>40879</v>
      </c>
      <c r="L299" s="555" t="s">
        <v>12</v>
      </c>
      <c r="M299" s="551">
        <v>38</v>
      </c>
      <c r="N299" s="556">
        <v>5</v>
      </c>
      <c r="O299" s="586">
        <v>10036</v>
      </c>
      <c r="P299" s="587">
        <v>1553</v>
      </c>
      <c r="Q299" s="588">
        <v>481544</v>
      </c>
      <c r="R299" s="589">
        <v>44903</v>
      </c>
      <c r="S299" s="570">
        <v>40907</v>
      </c>
    </row>
    <row r="300" spans="1:19" ht="9.75" customHeight="1">
      <c r="A300" s="571"/>
      <c r="B300" s="571"/>
      <c r="C300" s="571"/>
      <c r="D300" s="571"/>
      <c r="E300" s="572"/>
      <c r="F300" s="572"/>
      <c r="G300" s="584" t="s">
        <v>108</v>
      </c>
      <c r="H300" s="551" t="s">
        <v>125</v>
      </c>
      <c r="I300" s="585" t="s">
        <v>124</v>
      </c>
      <c r="J300" s="585" t="s">
        <v>109</v>
      </c>
      <c r="K300" s="565">
        <v>40879</v>
      </c>
      <c r="L300" s="555" t="s">
        <v>12</v>
      </c>
      <c r="M300" s="551">
        <v>38</v>
      </c>
      <c r="N300" s="556">
        <v>7</v>
      </c>
      <c r="O300" s="595">
        <v>3119</v>
      </c>
      <c r="P300" s="596">
        <v>502</v>
      </c>
      <c r="Q300" s="588">
        <v>491017</v>
      </c>
      <c r="R300" s="589">
        <v>46303</v>
      </c>
      <c r="S300" s="561">
        <v>40921</v>
      </c>
    </row>
    <row r="301" spans="1:19" ht="9.75" customHeight="1">
      <c r="A301" s="527"/>
      <c r="B301" s="527"/>
      <c r="C301" s="527"/>
      <c r="D301" s="527"/>
      <c r="E301" s="533"/>
      <c r="F301" s="533"/>
      <c r="G301" s="652" t="s">
        <v>108</v>
      </c>
      <c r="H301" s="551" t="s">
        <v>125</v>
      </c>
      <c r="I301" s="585" t="s">
        <v>124</v>
      </c>
      <c r="J301" s="585" t="s">
        <v>109</v>
      </c>
      <c r="K301" s="554">
        <v>40879</v>
      </c>
      <c r="L301" s="555" t="s">
        <v>12</v>
      </c>
      <c r="M301" s="551">
        <v>38</v>
      </c>
      <c r="N301" s="556">
        <v>11</v>
      </c>
      <c r="O301" s="618">
        <v>2509</v>
      </c>
      <c r="P301" s="619">
        <v>332</v>
      </c>
      <c r="Q301" s="620">
        <v>495830</v>
      </c>
      <c r="R301" s="589">
        <v>47001</v>
      </c>
      <c r="S301" s="561">
        <v>40949</v>
      </c>
    </row>
    <row r="302" spans="1:19" ht="9.75" customHeight="1">
      <c r="A302" s="571"/>
      <c r="B302" s="571"/>
      <c r="C302" s="571"/>
      <c r="D302" s="571"/>
      <c r="E302" s="572"/>
      <c r="F302" s="572"/>
      <c r="G302" s="584" t="s">
        <v>108</v>
      </c>
      <c r="H302" s="551" t="s">
        <v>125</v>
      </c>
      <c r="I302" s="585" t="s">
        <v>124</v>
      </c>
      <c r="J302" s="585" t="s">
        <v>109</v>
      </c>
      <c r="K302" s="565">
        <v>40879</v>
      </c>
      <c r="L302" s="555" t="s">
        <v>12</v>
      </c>
      <c r="M302" s="551">
        <v>38</v>
      </c>
      <c r="N302" s="556">
        <v>8</v>
      </c>
      <c r="O302" s="595">
        <v>2304</v>
      </c>
      <c r="P302" s="596">
        <v>366</v>
      </c>
      <c r="Q302" s="614">
        <v>493321</v>
      </c>
      <c r="R302" s="615">
        <v>46669</v>
      </c>
      <c r="S302" s="561">
        <v>40928</v>
      </c>
    </row>
    <row r="303" spans="1:19" ht="9.75" customHeight="1">
      <c r="A303" s="562"/>
      <c r="B303" s="230">
        <v>3</v>
      </c>
      <c r="C303" s="562"/>
      <c r="D303" s="571"/>
      <c r="E303" s="563"/>
      <c r="F303" s="563"/>
      <c r="G303" s="600" t="s">
        <v>147</v>
      </c>
      <c r="H303" s="555" t="s">
        <v>166</v>
      </c>
      <c r="I303" s="555" t="s">
        <v>99</v>
      </c>
      <c r="J303" s="555" t="s">
        <v>153</v>
      </c>
      <c r="K303" s="565">
        <v>40900</v>
      </c>
      <c r="L303" s="555" t="s">
        <v>52</v>
      </c>
      <c r="M303" s="601">
        <v>69</v>
      </c>
      <c r="N303" s="638">
        <v>2</v>
      </c>
      <c r="O303" s="666">
        <v>100865</v>
      </c>
      <c r="P303" s="667">
        <v>10455</v>
      </c>
      <c r="Q303" s="668">
        <f>247246+100865</f>
        <v>348111</v>
      </c>
      <c r="R303" s="615">
        <f>24388+10455</f>
        <v>34843</v>
      </c>
      <c r="S303" s="570">
        <v>40907</v>
      </c>
    </row>
    <row r="304" spans="1:19" ht="9.75" customHeight="1">
      <c r="A304" s="562"/>
      <c r="B304" s="230">
        <v>3</v>
      </c>
      <c r="C304" s="571"/>
      <c r="D304" s="571"/>
      <c r="E304" s="572"/>
      <c r="F304" s="572"/>
      <c r="G304" s="600" t="s">
        <v>147</v>
      </c>
      <c r="H304" s="555" t="s">
        <v>166</v>
      </c>
      <c r="I304" s="555" t="s">
        <v>99</v>
      </c>
      <c r="J304" s="555" t="s">
        <v>153</v>
      </c>
      <c r="K304" s="565">
        <v>40900</v>
      </c>
      <c r="L304" s="555" t="s">
        <v>52</v>
      </c>
      <c r="M304" s="661">
        <v>69</v>
      </c>
      <c r="N304" s="643">
        <v>3</v>
      </c>
      <c r="O304" s="662">
        <v>4174</v>
      </c>
      <c r="P304" s="663">
        <v>350</v>
      </c>
      <c r="Q304" s="664">
        <f>247246+100865+4174</f>
        <v>352285</v>
      </c>
      <c r="R304" s="665">
        <f>24388+10455+350</f>
        <v>35193</v>
      </c>
      <c r="S304" s="561">
        <v>40914</v>
      </c>
    </row>
    <row r="305" spans="1:19" ht="9.75" customHeight="1">
      <c r="A305" s="562"/>
      <c r="B305" s="230">
        <v>3</v>
      </c>
      <c r="C305" s="571"/>
      <c r="D305" s="571"/>
      <c r="E305" s="572"/>
      <c r="F305" s="572"/>
      <c r="G305" s="600" t="s">
        <v>147</v>
      </c>
      <c r="H305" s="555" t="s">
        <v>166</v>
      </c>
      <c r="I305" s="555" t="s">
        <v>99</v>
      </c>
      <c r="J305" s="555" t="s">
        <v>153</v>
      </c>
      <c r="K305" s="565">
        <v>40900</v>
      </c>
      <c r="L305" s="555" t="s">
        <v>52</v>
      </c>
      <c r="M305" s="601">
        <v>69</v>
      </c>
      <c r="N305" s="638">
        <v>4</v>
      </c>
      <c r="O305" s="669">
        <v>1569</v>
      </c>
      <c r="P305" s="670">
        <v>207</v>
      </c>
      <c r="Q305" s="671">
        <f>247246+100865+4174+1569</f>
        <v>353854</v>
      </c>
      <c r="R305" s="615">
        <f>24388+10455+350+207</f>
        <v>35400</v>
      </c>
      <c r="S305" s="561">
        <v>40921</v>
      </c>
    </row>
    <row r="306" spans="1:19" ht="9.75" customHeight="1">
      <c r="A306" s="562"/>
      <c r="B306" s="562"/>
      <c r="C306" s="562"/>
      <c r="D306" s="231" t="s">
        <v>292</v>
      </c>
      <c r="E306" s="672"/>
      <c r="F306" s="631"/>
      <c r="G306" s="637" t="s">
        <v>221</v>
      </c>
      <c r="H306" s="551" t="s">
        <v>96</v>
      </c>
      <c r="I306" s="555" t="s">
        <v>95</v>
      </c>
      <c r="J306" s="555" t="s">
        <v>146</v>
      </c>
      <c r="K306" s="629">
        <v>40893</v>
      </c>
      <c r="L306" s="555" t="s">
        <v>10</v>
      </c>
      <c r="M306" s="551">
        <v>133</v>
      </c>
      <c r="N306" s="638">
        <v>3</v>
      </c>
      <c r="O306" s="566">
        <v>916701</v>
      </c>
      <c r="P306" s="567">
        <v>91574</v>
      </c>
      <c r="Q306" s="568">
        <v>5181376</v>
      </c>
      <c r="R306" s="569">
        <v>509965</v>
      </c>
      <c r="S306" s="570">
        <v>40907</v>
      </c>
    </row>
    <row r="307" spans="1:19" ht="9.75" customHeight="1">
      <c r="A307" s="571"/>
      <c r="B307" s="571"/>
      <c r="C307" s="571"/>
      <c r="D307" s="231" t="s">
        <v>292</v>
      </c>
      <c r="E307" s="654"/>
      <c r="F307" s="627"/>
      <c r="G307" s="584" t="s">
        <v>221</v>
      </c>
      <c r="H307" s="551" t="s">
        <v>96</v>
      </c>
      <c r="I307" s="555" t="s">
        <v>95</v>
      </c>
      <c r="J307" s="555" t="s">
        <v>146</v>
      </c>
      <c r="K307" s="629">
        <v>40893</v>
      </c>
      <c r="L307" s="555" t="s">
        <v>10</v>
      </c>
      <c r="M307" s="577">
        <v>133</v>
      </c>
      <c r="N307" s="643">
        <v>4</v>
      </c>
      <c r="O307" s="579">
        <f>765772+1082</f>
        <v>766854</v>
      </c>
      <c r="P307" s="580">
        <f>73798+89</f>
        <v>73887</v>
      </c>
      <c r="Q307" s="581">
        <f>5181376+765772+1082</f>
        <v>5948230</v>
      </c>
      <c r="R307" s="582">
        <f>509965+73798+89</f>
        <v>583852</v>
      </c>
      <c r="S307" s="561">
        <v>40914</v>
      </c>
    </row>
    <row r="308" spans="1:19" ht="9.75" customHeight="1">
      <c r="A308" s="571"/>
      <c r="B308" s="571"/>
      <c r="C308" s="571"/>
      <c r="D308" s="231" t="s">
        <v>292</v>
      </c>
      <c r="E308" s="654"/>
      <c r="F308" s="627"/>
      <c r="G308" s="584" t="s">
        <v>221</v>
      </c>
      <c r="H308" s="551" t="s">
        <v>96</v>
      </c>
      <c r="I308" s="555" t="s">
        <v>95</v>
      </c>
      <c r="J308" s="555" t="s">
        <v>146</v>
      </c>
      <c r="K308" s="629">
        <v>40893</v>
      </c>
      <c r="L308" s="555" t="s">
        <v>10</v>
      </c>
      <c r="M308" s="551">
        <v>133</v>
      </c>
      <c r="N308" s="638">
        <v>5</v>
      </c>
      <c r="O308" s="566">
        <v>564431</v>
      </c>
      <c r="P308" s="567">
        <v>57561</v>
      </c>
      <c r="Q308" s="568">
        <v>6512661</v>
      </c>
      <c r="R308" s="569">
        <v>641413</v>
      </c>
      <c r="S308" s="561">
        <v>40921</v>
      </c>
    </row>
    <row r="309" spans="1:19" ht="9.75" customHeight="1">
      <c r="A309" s="571"/>
      <c r="B309" s="571"/>
      <c r="C309" s="571"/>
      <c r="D309" s="231" t="s">
        <v>292</v>
      </c>
      <c r="E309" s="654"/>
      <c r="F309" s="627"/>
      <c r="G309" s="584" t="s">
        <v>221</v>
      </c>
      <c r="H309" s="551" t="s">
        <v>96</v>
      </c>
      <c r="I309" s="555" t="s">
        <v>95</v>
      </c>
      <c r="J309" s="555" t="s">
        <v>146</v>
      </c>
      <c r="K309" s="629">
        <v>40893</v>
      </c>
      <c r="L309" s="555" t="s">
        <v>10</v>
      </c>
      <c r="M309" s="551">
        <v>133</v>
      </c>
      <c r="N309" s="638">
        <v>6</v>
      </c>
      <c r="O309" s="566">
        <v>474772</v>
      </c>
      <c r="P309" s="567">
        <v>47798</v>
      </c>
      <c r="Q309" s="568">
        <v>6987433</v>
      </c>
      <c r="R309" s="569">
        <v>689211</v>
      </c>
      <c r="S309" s="561">
        <v>40928</v>
      </c>
    </row>
    <row r="310" spans="1:19" ht="9.75" customHeight="1">
      <c r="A310" s="571"/>
      <c r="B310" s="571"/>
      <c r="C310" s="571"/>
      <c r="D310" s="231" t="s">
        <v>292</v>
      </c>
      <c r="E310" s="654"/>
      <c r="F310" s="627"/>
      <c r="G310" s="584" t="s">
        <v>221</v>
      </c>
      <c r="H310" s="551" t="s">
        <v>96</v>
      </c>
      <c r="I310" s="555" t="s">
        <v>95</v>
      </c>
      <c r="J310" s="555" t="s">
        <v>146</v>
      </c>
      <c r="K310" s="629">
        <v>40893</v>
      </c>
      <c r="L310" s="555" t="s">
        <v>10</v>
      </c>
      <c r="M310" s="551">
        <v>133</v>
      </c>
      <c r="N310" s="638">
        <v>7</v>
      </c>
      <c r="O310" s="566">
        <v>145930</v>
      </c>
      <c r="P310" s="567">
        <v>14703</v>
      </c>
      <c r="Q310" s="568">
        <v>7133363</v>
      </c>
      <c r="R310" s="569">
        <v>703914</v>
      </c>
      <c r="S310" s="561">
        <v>40935</v>
      </c>
    </row>
    <row r="311" spans="1:19" ht="9.75" customHeight="1">
      <c r="A311" s="573"/>
      <c r="B311" s="573"/>
      <c r="C311" s="573"/>
      <c r="D311" s="625" t="s">
        <v>292</v>
      </c>
      <c r="E311" s="674"/>
      <c r="F311" s="677"/>
      <c r="G311" s="584" t="s">
        <v>221</v>
      </c>
      <c r="H311" s="551" t="s">
        <v>96</v>
      </c>
      <c r="I311" s="555" t="s">
        <v>95</v>
      </c>
      <c r="J311" s="555" t="s">
        <v>146</v>
      </c>
      <c r="K311" s="629">
        <v>40893</v>
      </c>
      <c r="L311" s="555" t="s">
        <v>10</v>
      </c>
      <c r="M311" s="551">
        <v>133</v>
      </c>
      <c r="N311" s="638">
        <v>8</v>
      </c>
      <c r="O311" s="566">
        <v>49746</v>
      </c>
      <c r="P311" s="567">
        <v>4961</v>
      </c>
      <c r="Q311" s="568">
        <v>7183109</v>
      </c>
      <c r="R311" s="569">
        <v>708875</v>
      </c>
      <c r="S311" s="561">
        <v>40942</v>
      </c>
    </row>
    <row r="312" spans="1:19" ht="9.75" customHeight="1">
      <c r="A312" s="527"/>
      <c r="B312" s="527"/>
      <c r="C312" s="527"/>
      <c r="D312" s="531" t="s">
        <v>292</v>
      </c>
      <c r="E312" s="536"/>
      <c r="F312" s="537"/>
      <c r="G312" s="652" t="s">
        <v>221</v>
      </c>
      <c r="H312" s="551" t="s">
        <v>96</v>
      </c>
      <c r="I312" s="555" t="s">
        <v>95</v>
      </c>
      <c r="J312" s="555" t="s">
        <v>146</v>
      </c>
      <c r="K312" s="673">
        <v>40893</v>
      </c>
      <c r="L312" s="555" t="s">
        <v>10</v>
      </c>
      <c r="M312" s="551">
        <v>133</v>
      </c>
      <c r="N312" s="638">
        <v>9</v>
      </c>
      <c r="O312" s="557">
        <v>22843</v>
      </c>
      <c r="P312" s="558">
        <v>2889</v>
      </c>
      <c r="Q312" s="559">
        <v>7205952</v>
      </c>
      <c r="R312" s="560">
        <v>711764</v>
      </c>
      <c r="S312" s="561">
        <v>40949</v>
      </c>
    </row>
    <row r="313" spans="1:19" ht="9.75" customHeight="1">
      <c r="A313" s="527"/>
      <c r="B313" s="527"/>
      <c r="C313" s="527"/>
      <c r="D313" s="531" t="s">
        <v>292</v>
      </c>
      <c r="E313" s="536"/>
      <c r="F313" s="537"/>
      <c r="G313" s="652" t="s">
        <v>221</v>
      </c>
      <c r="H313" s="551" t="s">
        <v>96</v>
      </c>
      <c r="I313" s="555" t="s">
        <v>95</v>
      </c>
      <c r="J313" s="555" t="s">
        <v>146</v>
      </c>
      <c r="K313" s="629">
        <v>40893</v>
      </c>
      <c r="L313" s="555" t="s">
        <v>10</v>
      </c>
      <c r="M313" s="551">
        <v>133</v>
      </c>
      <c r="N313" s="638">
        <v>3</v>
      </c>
      <c r="O313" s="566">
        <v>4416</v>
      </c>
      <c r="P313" s="567">
        <v>1260</v>
      </c>
      <c r="Q313" s="568">
        <v>7210368</v>
      </c>
      <c r="R313" s="569">
        <v>713024</v>
      </c>
      <c r="S313" s="561">
        <v>40956</v>
      </c>
    </row>
    <row r="314" spans="1:19" ht="9.75" customHeight="1">
      <c r="A314" s="527"/>
      <c r="B314" s="527"/>
      <c r="C314" s="616"/>
      <c r="D314" s="527"/>
      <c r="E314" s="533"/>
      <c r="F314" s="532"/>
      <c r="G314" s="550" t="s">
        <v>448</v>
      </c>
      <c r="H314" s="553" t="s">
        <v>462</v>
      </c>
      <c r="I314" s="553" t="s">
        <v>89</v>
      </c>
      <c r="J314" s="553" t="s">
        <v>456</v>
      </c>
      <c r="K314" s="554">
        <v>40753</v>
      </c>
      <c r="L314" s="555" t="s">
        <v>68</v>
      </c>
      <c r="M314" s="551">
        <v>13</v>
      </c>
      <c r="N314" s="556">
        <v>15</v>
      </c>
      <c r="O314" s="557">
        <v>1188</v>
      </c>
      <c r="P314" s="558">
        <v>238</v>
      </c>
      <c r="Q314" s="559">
        <f>37355+12427+7492+8213.5+4676+5757+7050+1356+2892.5+6045+5978+639+919+810+143.5+1188</f>
        <v>102941.5</v>
      </c>
      <c r="R314" s="560">
        <f>3112+1234+925+858+645+791+1079+205+381+739+757+85+126+135+31+238</f>
        <v>11341</v>
      </c>
      <c r="S314" s="561">
        <v>40949</v>
      </c>
    </row>
    <row r="315" spans="1:19" ht="9.75" customHeight="1">
      <c r="A315" s="571"/>
      <c r="B315" s="571"/>
      <c r="C315" s="608"/>
      <c r="D315" s="571"/>
      <c r="E315" s="572"/>
      <c r="F315" s="563"/>
      <c r="G315" s="564" t="s">
        <v>448</v>
      </c>
      <c r="H315" s="553" t="s">
        <v>462</v>
      </c>
      <c r="I315" s="553" t="s">
        <v>89</v>
      </c>
      <c r="J315" s="553" t="s">
        <v>456</v>
      </c>
      <c r="K315" s="565">
        <v>40753</v>
      </c>
      <c r="L315" s="555" t="s">
        <v>68</v>
      </c>
      <c r="M315" s="551">
        <v>13</v>
      </c>
      <c r="N315" s="556">
        <v>14</v>
      </c>
      <c r="O315" s="566">
        <v>810</v>
      </c>
      <c r="P315" s="567">
        <v>135</v>
      </c>
      <c r="Q315" s="568">
        <f>37355+12427+7492+8213.5+4676+5757+7050+1356+2892.5+6045+5978+639+919+810</f>
        <v>101610</v>
      </c>
      <c r="R315" s="569">
        <f>3112+1234+925+858+645+791+1079+205+381+739+757+85+126+135</f>
        <v>11072</v>
      </c>
      <c r="S315" s="561">
        <v>40928</v>
      </c>
    </row>
    <row r="316" spans="1:19" ht="9.75" customHeight="1">
      <c r="A316" s="527"/>
      <c r="B316" s="527"/>
      <c r="C316" s="616"/>
      <c r="D316" s="527"/>
      <c r="E316" s="533"/>
      <c r="F316" s="532"/>
      <c r="G316" s="564" t="s">
        <v>448</v>
      </c>
      <c r="H316" s="553" t="s">
        <v>462</v>
      </c>
      <c r="I316" s="553" t="s">
        <v>89</v>
      </c>
      <c r="J316" s="553" t="s">
        <v>456</v>
      </c>
      <c r="K316" s="565">
        <v>40753</v>
      </c>
      <c r="L316" s="555" t="s">
        <v>68</v>
      </c>
      <c r="M316" s="551">
        <v>13</v>
      </c>
      <c r="N316" s="590">
        <v>15</v>
      </c>
      <c r="O316" s="566">
        <v>143.5</v>
      </c>
      <c r="P316" s="567">
        <v>31</v>
      </c>
      <c r="Q316" s="568">
        <f>37355+12427+7492+8213.5+4676+5757+7050+1356+2892.5+6045+5978+639+919+810+143.5</f>
        <v>101753.5</v>
      </c>
      <c r="R316" s="569">
        <f>3112+1234+925+858+645+791+1079+205+381+739+757+85+126+135+31</f>
        <v>11103</v>
      </c>
      <c r="S316" s="561">
        <v>40942</v>
      </c>
    </row>
    <row r="317" spans="1:19" ht="9.75" customHeight="1">
      <c r="A317" s="527"/>
      <c r="B317" s="527"/>
      <c r="C317" s="527"/>
      <c r="D317" s="527"/>
      <c r="E317" s="533"/>
      <c r="F317" s="532"/>
      <c r="G317" s="564" t="s">
        <v>550</v>
      </c>
      <c r="H317" s="553" t="s">
        <v>551</v>
      </c>
      <c r="I317" s="552" t="s">
        <v>128</v>
      </c>
      <c r="J317" s="553" t="s">
        <v>552</v>
      </c>
      <c r="K317" s="565">
        <v>40683</v>
      </c>
      <c r="L317" s="555" t="s">
        <v>68</v>
      </c>
      <c r="M317" s="577">
        <v>6</v>
      </c>
      <c r="N317" s="590">
        <v>21</v>
      </c>
      <c r="O317" s="566">
        <v>3801.5</v>
      </c>
      <c r="P317" s="567">
        <v>760</v>
      </c>
      <c r="Q317" s="568">
        <f>16905.5+10044+3710+2342+9911.5+7248+6024+1678+1960+374+2139+2655.5+2562+447+1328+1270+869+1782+475+25+3801.5</f>
        <v>77551</v>
      </c>
      <c r="R317" s="569">
        <f>1241+811+837+224+905+1125+738+283+277+57+267+346+338+61+166+189+146+446+119+5+760</f>
        <v>9341</v>
      </c>
      <c r="S317" s="561">
        <v>40942</v>
      </c>
    </row>
    <row r="318" spans="1:19" ht="9.75" customHeight="1">
      <c r="A318" s="571"/>
      <c r="B318" s="571"/>
      <c r="C318" s="562"/>
      <c r="D318" s="571"/>
      <c r="E318" s="563"/>
      <c r="F318" s="563"/>
      <c r="G318" s="635" t="s">
        <v>244</v>
      </c>
      <c r="H318" s="555" t="s">
        <v>247</v>
      </c>
      <c r="I318" s="555" t="s">
        <v>248</v>
      </c>
      <c r="J318" s="555" t="s">
        <v>245</v>
      </c>
      <c r="K318" s="565">
        <v>40753</v>
      </c>
      <c r="L318" s="555" t="s">
        <v>13</v>
      </c>
      <c r="M318" s="636">
        <v>3</v>
      </c>
      <c r="N318" s="556">
        <v>7</v>
      </c>
      <c r="O318" s="595">
        <v>1188</v>
      </c>
      <c r="P318" s="596">
        <v>237</v>
      </c>
      <c r="Q318" s="614">
        <v>16007.5</v>
      </c>
      <c r="R318" s="615">
        <v>1536</v>
      </c>
      <c r="S318" s="570">
        <v>40907</v>
      </c>
    </row>
    <row r="319" spans="1:19" ht="9.75" customHeight="1">
      <c r="A319" s="229" t="s">
        <v>223</v>
      </c>
      <c r="B319" s="572"/>
      <c r="C319" s="210">
        <v>2</v>
      </c>
      <c r="D319" s="571"/>
      <c r="E319" s="571"/>
      <c r="F319" s="572"/>
      <c r="G319" s="584" t="s">
        <v>346</v>
      </c>
      <c r="H319" s="551" t="s">
        <v>91</v>
      </c>
      <c r="I319" s="585" t="s">
        <v>94</v>
      </c>
      <c r="J319" s="585" t="s">
        <v>346</v>
      </c>
      <c r="K319" s="565">
        <v>40648</v>
      </c>
      <c r="L319" s="555" t="s">
        <v>12</v>
      </c>
      <c r="M319" s="577">
        <v>151</v>
      </c>
      <c r="N319" s="590">
        <v>30</v>
      </c>
      <c r="O319" s="591">
        <v>615</v>
      </c>
      <c r="P319" s="592">
        <v>123</v>
      </c>
      <c r="Q319" s="593">
        <v>1956708</v>
      </c>
      <c r="R319" s="594">
        <v>218938</v>
      </c>
      <c r="S319" s="561">
        <v>40914</v>
      </c>
    </row>
    <row r="320" spans="1:19" ht="9.75" customHeight="1">
      <c r="A320" s="562"/>
      <c r="B320" s="562"/>
      <c r="C320" s="562"/>
      <c r="D320" s="562"/>
      <c r="E320" s="653"/>
      <c r="F320" s="599" t="s">
        <v>54</v>
      </c>
      <c r="G320" s="628" t="s">
        <v>141</v>
      </c>
      <c r="H320" s="551" t="s">
        <v>142</v>
      </c>
      <c r="I320" s="602"/>
      <c r="J320" s="602" t="s">
        <v>141</v>
      </c>
      <c r="K320" s="629">
        <v>40893</v>
      </c>
      <c r="L320" s="555" t="s">
        <v>8</v>
      </c>
      <c r="M320" s="602">
        <v>131</v>
      </c>
      <c r="N320" s="683">
        <v>3</v>
      </c>
      <c r="O320" s="566">
        <v>2464903</v>
      </c>
      <c r="P320" s="567">
        <v>273690</v>
      </c>
      <c r="Q320" s="568">
        <v>8604215</v>
      </c>
      <c r="R320" s="569">
        <v>960307</v>
      </c>
      <c r="S320" s="570">
        <v>40907</v>
      </c>
    </row>
    <row r="321" spans="1:19" ht="9.75" customHeight="1">
      <c r="A321" s="571"/>
      <c r="B321" s="571"/>
      <c r="C321" s="571"/>
      <c r="D321" s="571"/>
      <c r="E321" s="654"/>
      <c r="F321" s="599" t="s">
        <v>54</v>
      </c>
      <c r="G321" s="628" t="s">
        <v>141</v>
      </c>
      <c r="H321" s="551" t="s">
        <v>142</v>
      </c>
      <c r="I321" s="602"/>
      <c r="J321" s="602" t="s">
        <v>141</v>
      </c>
      <c r="K321" s="629">
        <v>40893</v>
      </c>
      <c r="L321" s="555" t="s">
        <v>8</v>
      </c>
      <c r="M321" s="609">
        <v>131</v>
      </c>
      <c r="N321" s="691">
        <v>4</v>
      </c>
      <c r="O321" s="579">
        <v>1826075</v>
      </c>
      <c r="P321" s="580">
        <v>198737</v>
      </c>
      <c r="Q321" s="581">
        <v>10430290</v>
      </c>
      <c r="R321" s="582">
        <v>1159044</v>
      </c>
      <c r="S321" s="561">
        <v>40914</v>
      </c>
    </row>
    <row r="322" spans="1:19" ht="9.75" customHeight="1">
      <c r="A322" s="571"/>
      <c r="B322" s="571"/>
      <c r="C322" s="571"/>
      <c r="D322" s="571"/>
      <c r="E322" s="654"/>
      <c r="F322" s="599" t="s">
        <v>54</v>
      </c>
      <c r="G322" s="628" t="s">
        <v>141</v>
      </c>
      <c r="H322" s="551" t="s">
        <v>142</v>
      </c>
      <c r="I322" s="602"/>
      <c r="J322" s="602" t="s">
        <v>141</v>
      </c>
      <c r="K322" s="629">
        <v>40893</v>
      </c>
      <c r="L322" s="555" t="s">
        <v>8</v>
      </c>
      <c r="M322" s="602">
        <v>131</v>
      </c>
      <c r="N322" s="683">
        <v>6</v>
      </c>
      <c r="O322" s="566">
        <v>1674165</v>
      </c>
      <c r="P322" s="567">
        <v>188583</v>
      </c>
      <c r="Q322" s="568">
        <v>13641012</v>
      </c>
      <c r="R322" s="569">
        <v>1519587</v>
      </c>
      <c r="S322" s="561">
        <v>40928</v>
      </c>
    </row>
    <row r="323" spans="1:19" ht="9.75" customHeight="1">
      <c r="A323" s="571"/>
      <c r="B323" s="571"/>
      <c r="C323" s="571"/>
      <c r="D323" s="571"/>
      <c r="E323" s="654"/>
      <c r="F323" s="599" t="s">
        <v>54</v>
      </c>
      <c r="G323" s="628" t="s">
        <v>141</v>
      </c>
      <c r="H323" s="551" t="s">
        <v>142</v>
      </c>
      <c r="I323" s="602"/>
      <c r="J323" s="602" t="s">
        <v>141</v>
      </c>
      <c r="K323" s="629">
        <v>40893</v>
      </c>
      <c r="L323" s="555" t="s">
        <v>8</v>
      </c>
      <c r="M323" s="602">
        <v>131</v>
      </c>
      <c r="N323" s="683">
        <v>5</v>
      </c>
      <c r="O323" s="684">
        <v>1536557</v>
      </c>
      <c r="P323" s="685">
        <v>171960</v>
      </c>
      <c r="Q323" s="568">
        <v>11382284</v>
      </c>
      <c r="R323" s="569">
        <v>1257533</v>
      </c>
      <c r="S323" s="561">
        <v>40921</v>
      </c>
    </row>
    <row r="324" spans="1:19" ht="9.75" customHeight="1">
      <c r="A324" s="571"/>
      <c r="B324" s="571"/>
      <c r="C324" s="571"/>
      <c r="D324" s="571"/>
      <c r="E324" s="654"/>
      <c r="F324" s="599" t="s">
        <v>54</v>
      </c>
      <c r="G324" s="628" t="s">
        <v>141</v>
      </c>
      <c r="H324" s="551" t="s">
        <v>142</v>
      </c>
      <c r="I324" s="602"/>
      <c r="J324" s="602" t="s">
        <v>141</v>
      </c>
      <c r="K324" s="629">
        <v>40893</v>
      </c>
      <c r="L324" s="555" t="s">
        <v>8</v>
      </c>
      <c r="M324" s="602">
        <v>131</v>
      </c>
      <c r="N324" s="683">
        <v>7</v>
      </c>
      <c r="O324" s="684">
        <v>782818</v>
      </c>
      <c r="P324" s="685">
        <v>90206</v>
      </c>
      <c r="Q324" s="649">
        <v>14423830</v>
      </c>
      <c r="R324" s="650">
        <v>1609793</v>
      </c>
      <c r="S324" s="561">
        <v>40935</v>
      </c>
    </row>
    <row r="325" spans="1:19" ht="9.75" customHeight="1">
      <c r="A325" s="573"/>
      <c r="B325" s="573"/>
      <c r="C325" s="573"/>
      <c r="D325" s="573"/>
      <c r="E325" s="674"/>
      <c r="F325" s="634" t="s">
        <v>54</v>
      </c>
      <c r="G325" s="628" t="s">
        <v>141</v>
      </c>
      <c r="H325" s="551" t="s">
        <v>142</v>
      </c>
      <c r="I325" s="602"/>
      <c r="J325" s="602" t="s">
        <v>141</v>
      </c>
      <c r="K325" s="629">
        <v>40893</v>
      </c>
      <c r="L325" s="555" t="s">
        <v>8</v>
      </c>
      <c r="M325" s="602">
        <v>131</v>
      </c>
      <c r="N325" s="683">
        <v>8</v>
      </c>
      <c r="O325" s="566">
        <v>546513</v>
      </c>
      <c r="P325" s="697">
        <v>61901</v>
      </c>
      <c r="Q325" s="568">
        <v>14970343</v>
      </c>
      <c r="R325" s="698">
        <v>1671694</v>
      </c>
      <c r="S325" s="561">
        <v>40942</v>
      </c>
    </row>
    <row r="326" spans="1:19" ht="9.75" customHeight="1">
      <c r="A326" s="527"/>
      <c r="B326" s="527"/>
      <c r="C326" s="527"/>
      <c r="D326" s="527"/>
      <c r="E326" s="536"/>
      <c r="F326" s="529" t="s">
        <v>54</v>
      </c>
      <c r="G326" s="696" t="s">
        <v>141</v>
      </c>
      <c r="H326" s="551" t="s">
        <v>142</v>
      </c>
      <c r="I326" s="602"/>
      <c r="J326" s="602" t="s">
        <v>141</v>
      </c>
      <c r="K326" s="673">
        <v>40893</v>
      </c>
      <c r="L326" s="555" t="s">
        <v>8</v>
      </c>
      <c r="M326" s="602">
        <v>131</v>
      </c>
      <c r="N326" s="683">
        <v>9</v>
      </c>
      <c r="O326" s="557">
        <v>387361</v>
      </c>
      <c r="P326" s="558">
        <v>45227</v>
      </c>
      <c r="Q326" s="559">
        <v>15357703</v>
      </c>
      <c r="R326" s="560">
        <v>1716921</v>
      </c>
      <c r="S326" s="561">
        <v>40949</v>
      </c>
    </row>
    <row r="327" spans="1:19" ht="9.75" customHeight="1">
      <c r="A327" s="527"/>
      <c r="B327" s="527"/>
      <c r="C327" s="527"/>
      <c r="D327" s="527"/>
      <c r="E327" s="536"/>
      <c r="F327" s="529" t="s">
        <v>54</v>
      </c>
      <c r="G327" s="696" t="s">
        <v>141</v>
      </c>
      <c r="H327" s="551" t="s">
        <v>142</v>
      </c>
      <c r="I327" s="602"/>
      <c r="J327" s="602" t="s">
        <v>141</v>
      </c>
      <c r="K327" s="629">
        <v>40893</v>
      </c>
      <c r="L327" s="555" t="s">
        <v>8</v>
      </c>
      <c r="M327" s="602">
        <v>131</v>
      </c>
      <c r="N327" s="683">
        <v>54</v>
      </c>
      <c r="O327" s="566">
        <v>71809</v>
      </c>
      <c r="P327" s="567">
        <v>8523</v>
      </c>
      <c r="Q327" s="568">
        <v>15429512</v>
      </c>
      <c r="R327" s="569">
        <v>1725444</v>
      </c>
      <c r="S327" s="561">
        <v>40956</v>
      </c>
    </row>
    <row r="328" spans="1:19" ht="9.75" customHeight="1">
      <c r="A328" s="571"/>
      <c r="B328" s="571"/>
      <c r="C328" s="562"/>
      <c r="D328" s="571"/>
      <c r="E328" s="563"/>
      <c r="F328" s="563"/>
      <c r="G328" s="635" t="s">
        <v>256</v>
      </c>
      <c r="H328" s="555" t="s">
        <v>257</v>
      </c>
      <c r="I328" s="555" t="s">
        <v>248</v>
      </c>
      <c r="J328" s="555" t="s">
        <v>240</v>
      </c>
      <c r="K328" s="565">
        <v>40739</v>
      </c>
      <c r="L328" s="555" t="s">
        <v>13</v>
      </c>
      <c r="M328" s="636">
        <v>3</v>
      </c>
      <c r="N328" s="556">
        <v>17</v>
      </c>
      <c r="O328" s="595">
        <v>2608</v>
      </c>
      <c r="P328" s="596">
        <v>520</v>
      </c>
      <c r="Q328" s="614">
        <v>43756.5</v>
      </c>
      <c r="R328" s="615">
        <v>5487</v>
      </c>
      <c r="S328" s="570">
        <v>40907</v>
      </c>
    </row>
    <row r="329" spans="1:19" ht="9.75" customHeight="1">
      <c r="A329" s="530" t="s">
        <v>223</v>
      </c>
      <c r="B329" s="527"/>
      <c r="C329" s="616"/>
      <c r="D329" s="531" t="s">
        <v>292</v>
      </c>
      <c r="E329" s="533"/>
      <c r="F329" s="532"/>
      <c r="G329" s="550" t="s">
        <v>537</v>
      </c>
      <c r="H329" s="553" t="s">
        <v>460</v>
      </c>
      <c r="I329" s="553" t="s">
        <v>89</v>
      </c>
      <c r="J329" s="553" t="s">
        <v>468</v>
      </c>
      <c r="K329" s="565">
        <v>40522</v>
      </c>
      <c r="L329" s="555" t="s">
        <v>68</v>
      </c>
      <c r="M329" s="551">
        <v>127</v>
      </c>
      <c r="N329" s="556">
        <v>1</v>
      </c>
      <c r="O329" s="566">
        <v>1782</v>
      </c>
      <c r="P329" s="567">
        <v>356</v>
      </c>
      <c r="Q329" s="568">
        <f>1048675+809166.5+457718.5+70165.5+7102+12164+8619.5+11777.5+6559.5+3338.5+10420.5+3303+3205+2076+1722.5+314+264+550+5455+5583.5+1818.5+950.5+1188+1782</f>
        <v>2473919</v>
      </c>
      <c r="R329" s="569">
        <f>92481+73795+43350+8841+1153+2869+1615+2831+1620+630+2477+726+513+481+318+38+33+104+1359+1394+447+238+297+356</f>
        <v>237966</v>
      </c>
      <c r="S329" s="561">
        <v>40956</v>
      </c>
    </row>
    <row r="330" spans="1:19" ht="9.75" customHeight="1">
      <c r="A330" s="229" t="s">
        <v>223</v>
      </c>
      <c r="B330" s="571"/>
      <c r="C330" s="608"/>
      <c r="D330" s="231" t="s">
        <v>292</v>
      </c>
      <c r="E330" s="572"/>
      <c r="F330" s="563"/>
      <c r="G330" s="564" t="s">
        <v>537</v>
      </c>
      <c r="H330" s="553" t="s">
        <v>460</v>
      </c>
      <c r="I330" s="553" t="s">
        <v>89</v>
      </c>
      <c r="J330" s="553" t="s">
        <v>468</v>
      </c>
      <c r="K330" s="565">
        <v>40522</v>
      </c>
      <c r="L330" s="555" t="s">
        <v>68</v>
      </c>
      <c r="M330" s="551">
        <v>127</v>
      </c>
      <c r="N330" s="621">
        <v>23</v>
      </c>
      <c r="O330" s="566">
        <v>1188</v>
      </c>
      <c r="P330" s="567">
        <v>297</v>
      </c>
      <c r="Q330" s="568">
        <f>1048675+809166.5+457718.5+70165.5+7102+12164+8619.5+11777.5+6559.5+3338.5+10420.5+3303+3205+2076+1722.5+314+264+550+5455+5583.5+1818.5+950.5+1188</f>
        <v>2472137</v>
      </c>
      <c r="R330" s="569">
        <f>92481+73795+43350+8841+1153+2869+1615+2831+1620+630+2477+726+513+481+318+38+33+104+1359+1394+447+238+297</f>
        <v>237610</v>
      </c>
      <c r="S330" s="561">
        <v>40928</v>
      </c>
    </row>
    <row r="331" spans="1:19" ht="9.75" customHeight="1">
      <c r="A331" s="571"/>
      <c r="B331" s="571"/>
      <c r="C331" s="571"/>
      <c r="D331" s="571"/>
      <c r="E331" s="572"/>
      <c r="F331" s="572"/>
      <c r="G331" s="628" t="s">
        <v>345</v>
      </c>
      <c r="H331" s="551" t="s">
        <v>126</v>
      </c>
      <c r="I331" s="602" t="s">
        <v>89</v>
      </c>
      <c r="J331" s="602" t="s">
        <v>352</v>
      </c>
      <c r="K331" s="629">
        <v>40914</v>
      </c>
      <c r="L331" s="555" t="s">
        <v>68</v>
      </c>
      <c r="M331" s="675">
        <v>66</v>
      </c>
      <c r="N331" s="578">
        <v>1</v>
      </c>
      <c r="O331" s="579">
        <v>683638.5</v>
      </c>
      <c r="P331" s="580">
        <v>65177</v>
      </c>
      <c r="Q331" s="581">
        <v>683638.5</v>
      </c>
      <c r="R331" s="582">
        <v>65177</v>
      </c>
      <c r="S331" s="561">
        <v>40914</v>
      </c>
    </row>
    <row r="332" spans="1:19" ht="9.75" customHeight="1">
      <c r="A332" s="571"/>
      <c r="B332" s="230">
        <v>3</v>
      </c>
      <c r="C332" s="571"/>
      <c r="D332" s="571"/>
      <c r="E332" s="572"/>
      <c r="F332" s="572"/>
      <c r="G332" s="628" t="s">
        <v>345</v>
      </c>
      <c r="H332" s="551" t="s">
        <v>126</v>
      </c>
      <c r="I332" s="602" t="s">
        <v>89</v>
      </c>
      <c r="J332" s="602" t="s">
        <v>352</v>
      </c>
      <c r="K332" s="629">
        <v>40914</v>
      </c>
      <c r="L332" s="555" t="s">
        <v>68</v>
      </c>
      <c r="M332" s="551">
        <v>66</v>
      </c>
      <c r="N332" s="556">
        <v>2</v>
      </c>
      <c r="O332" s="566">
        <v>541400</v>
      </c>
      <c r="P332" s="567">
        <v>52837</v>
      </c>
      <c r="Q332" s="568">
        <f>683638.5+541400</f>
        <v>1225038.5</v>
      </c>
      <c r="R332" s="569">
        <f>65177+52837</f>
        <v>118014</v>
      </c>
      <c r="S332" s="561">
        <v>40921</v>
      </c>
    </row>
    <row r="333" spans="1:19" ht="9.75" customHeight="1">
      <c r="A333" s="562"/>
      <c r="B333" s="562"/>
      <c r="C333" s="562"/>
      <c r="D333" s="562"/>
      <c r="E333" s="563"/>
      <c r="F333" s="676"/>
      <c r="G333" s="600" t="s">
        <v>168</v>
      </c>
      <c r="H333" s="551" t="s">
        <v>171</v>
      </c>
      <c r="I333" s="601" t="s">
        <v>99</v>
      </c>
      <c r="J333" s="552" t="s">
        <v>172</v>
      </c>
      <c r="K333" s="565">
        <v>40830</v>
      </c>
      <c r="L333" s="555" t="s">
        <v>52</v>
      </c>
      <c r="M333" s="601">
        <v>24</v>
      </c>
      <c r="N333" s="638">
        <v>7</v>
      </c>
      <c r="O333" s="666">
        <v>1775</v>
      </c>
      <c r="P333" s="667">
        <v>204</v>
      </c>
      <c r="Q333" s="668">
        <f>39089+12457+497+1407+378+156+1775</f>
        <v>55759</v>
      </c>
      <c r="R333" s="615">
        <f>3631+1290+71+217+63+19+204</f>
        <v>5495</v>
      </c>
      <c r="S333" s="570">
        <v>40907</v>
      </c>
    </row>
    <row r="334" spans="1:19" ht="9.75" customHeight="1">
      <c r="A334" s="571"/>
      <c r="B334" s="571"/>
      <c r="C334" s="571"/>
      <c r="D334" s="571"/>
      <c r="E334" s="572"/>
      <c r="F334" s="676"/>
      <c r="G334" s="600" t="s">
        <v>168</v>
      </c>
      <c r="H334" s="551" t="s">
        <v>171</v>
      </c>
      <c r="I334" s="601" t="s">
        <v>99</v>
      </c>
      <c r="J334" s="552" t="s">
        <v>172</v>
      </c>
      <c r="K334" s="565">
        <v>40830</v>
      </c>
      <c r="L334" s="555" t="s">
        <v>52</v>
      </c>
      <c r="M334" s="601">
        <v>24</v>
      </c>
      <c r="N334" s="638">
        <v>9</v>
      </c>
      <c r="O334" s="666">
        <v>525</v>
      </c>
      <c r="P334" s="667">
        <v>69</v>
      </c>
      <c r="Q334" s="668">
        <f>39089+12457+497+1407+378+156+1775+429+525</f>
        <v>56713</v>
      </c>
      <c r="R334" s="615">
        <f>3631+1290+71+217+63+19+204+72+69</f>
        <v>5636</v>
      </c>
      <c r="S334" s="561">
        <v>40928</v>
      </c>
    </row>
    <row r="335" spans="1:19" ht="9.75" customHeight="1">
      <c r="A335" s="571"/>
      <c r="B335" s="571"/>
      <c r="C335" s="571"/>
      <c r="D335" s="571"/>
      <c r="E335" s="572"/>
      <c r="F335" s="676"/>
      <c r="G335" s="600" t="s">
        <v>168</v>
      </c>
      <c r="H335" s="551" t="s">
        <v>171</v>
      </c>
      <c r="I335" s="601" t="s">
        <v>99</v>
      </c>
      <c r="J335" s="552" t="s">
        <v>172</v>
      </c>
      <c r="K335" s="565">
        <v>40830</v>
      </c>
      <c r="L335" s="555" t="s">
        <v>52</v>
      </c>
      <c r="M335" s="601">
        <v>24</v>
      </c>
      <c r="N335" s="638">
        <v>8</v>
      </c>
      <c r="O335" s="669">
        <v>429</v>
      </c>
      <c r="P335" s="670">
        <v>72</v>
      </c>
      <c r="Q335" s="671">
        <f>39089+12457+497+1407+378+156+1775+429</f>
        <v>56188</v>
      </c>
      <c r="R335" s="615">
        <f>3631+1290+71+217+63+19+204+72</f>
        <v>5567</v>
      </c>
      <c r="S335" s="561">
        <v>40921</v>
      </c>
    </row>
    <row r="336" spans="1:19" ht="9.75" customHeight="1">
      <c r="A336" s="571"/>
      <c r="B336" s="571"/>
      <c r="C336" s="571"/>
      <c r="D336" s="571"/>
      <c r="E336" s="571"/>
      <c r="F336" s="631"/>
      <c r="G336" s="635" t="s">
        <v>438</v>
      </c>
      <c r="H336" s="552" t="s">
        <v>440</v>
      </c>
      <c r="I336" s="551" t="s">
        <v>189</v>
      </c>
      <c r="J336" s="602" t="s">
        <v>439</v>
      </c>
      <c r="K336" s="565">
        <v>40844</v>
      </c>
      <c r="L336" s="555" t="s">
        <v>8</v>
      </c>
      <c r="M336" s="682">
        <v>29</v>
      </c>
      <c r="N336" s="683">
        <v>9</v>
      </c>
      <c r="O336" s="566">
        <v>680</v>
      </c>
      <c r="P336" s="567">
        <v>92</v>
      </c>
      <c r="Q336" s="568">
        <v>343647</v>
      </c>
      <c r="R336" s="569">
        <v>27776</v>
      </c>
      <c r="S336" s="561">
        <v>40928</v>
      </c>
    </row>
    <row r="337" spans="1:19" ht="9.75" customHeight="1">
      <c r="A337" s="571"/>
      <c r="B337" s="571"/>
      <c r="C337" s="562"/>
      <c r="D337" s="571"/>
      <c r="E337" s="563"/>
      <c r="F337" s="563"/>
      <c r="G337" s="637" t="s">
        <v>158</v>
      </c>
      <c r="H337" s="555" t="s">
        <v>162</v>
      </c>
      <c r="I337" s="555" t="s">
        <v>79</v>
      </c>
      <c r="J337" s="555" t="s">
        <v>161</v>
      </c>
      <c r="K337" s="629">
        <v>40907</v>
      </c>
      <c r="L337" s="555" t="s">
        <v>13</v>
      </c>
      <c r="M337" s="551">
        <v>1</v>
      </c>
      <c r="N337" s="556">
        <v>1</v>
      </c>
      <c r="O337" s="595">
        <v>2379</v>
      </c>
      <c r="P337" s="596">
        <v>255</v>
      </c>
      <c r="Q337" s="614">
        <v>2379</v>
      </c>
      <c r="R337" s="615">
        <v>255</v>
      </c>
      <c r="S337" s="570">
        <v>40907</v>
      </c>
    </row>
    <row r="338" spans="1:19" ht="9.75" customHeight="1">
      <c r="A338" s="571"/>
      <c r="B338" s="571"/>
      <c r="C338" s="571"/>
      <c r="D338" s="571"/>
      <c r="E338" s="572"/>
      <c r="F338" s="572"/>
      <c r="G338" s="637" t="s">
        <v>158</v>
      </c>
      <c r="H338" s="555" t="s">
        <v>162</v>
      </c>
      <c r="I338" s="555" t="s">
        <v>79</v>
      </c>
      <c r="J338" s="555" t="s">
        <v>161</v>
      </c>
      <c r="K338" s="629">
        <v>40907</v>
      </c>
      <c r="L338" s="555" t="s">
        <v>13</v>
      </c>
      <c r="M338" s="577">
        <v>1</v>
      </c>
      <c r="N338" s="690">
        <v>2</v>
      </c>
      <c r="O338" s="591">
        <v>342</v>
      </c>
      <c r="P338" s="592">
        <v>34</v>
      </c>
      <c r="Q338" s="593">
        <v>2721</v>
      </c>
      <c r="R338" s="594">
        <v>289</v>
      </c>
      <c r="S338" s="561">
        <v>40914</v>
      </c>
    </row>
    <row r="339" spans="1:19" ht="9.75" customHeight="1">
      <c r="A339" s="571"/>
      <c r="B339" s="571"/>
      <c r="C339" s="571"/>
      <c r="D339" s="571"/>
      <c r="E339" s="654"/>
      <c r="F339" s="563"/>
      <c r="G339" s="637" t="s">
        <v>391</v>
      </c>
      <c r="H339" s="551" t="s">
        <v>93</v>
      </c>
      <c r="I339" s="659" t="s">
        <v>95</v>
      </c>
      <c r="J339" s="555" t="s">
        <v>392</v>
      </c>
      <c r="K339" s="565">
        <v>40556</v>
      </c>
      <c r="L339" s="555" t="s">
        <v>10</v>
      </c>
      <c r="M339" s="551">
        <v>85</v>
      </c>
      <c r="N339" s="638">
        <v>1</v>
      </c>
      <c r="O339" s="566">
        <v>777874</v>
      </c>
      <c r="P339" s="567">
        <v>70890</v>
      </c>
      <c r="Q339" s="568">
        <v>777874</v>
      </c>
      <c r="R339" s="569">
        <v>70890</v>
      </c>
      <c r="S339" s="561">
        <v>40921</v>
      </c>
    </row>
    <row r="340" spans="1:19" ht="9.75" customHeight="1">
      <c r="A340" s="527"/>
      <c r="B340" s="527"/>
      <c r="C340" s="527"/>
      <c r="D340" s="527"/>
      <c r="E340" s="533"/>
      <c r="F340" s="537"/>
      <c r="G340" s="617" t="s">
        <v>732</v>
      </c>
      <c r="H340" s="555" t="s">
        <v>734</v>
      </c>
      <c r="I340" s="555" t="s">
        <v>99</v>
      </c>
      <c r="J340" s="555" t="s">
        <v>737</v>
      </c>
      <c r="K340" s="565">
        <v>39423</v>
      </c>
      <c r="L340" s="555" t="s">
        <v>52</v>
      </c>
      <c r="M340" s="601">
        <v>164</v>
      </c>
      <c r="N340" s="556">
        <v>1</v>
      </c>
      <c r="O340" s="604">
        <v>1901</v>
      </c>
      <c r="P340" s="605">
        <v>380</v>
      </c>
      <c r="Q340" s="606">
        <f>3571428+831+1901</f>
        <v>3574160</v>
      </c>
      <c r="R340" s="607">
        <f>442208+166+380</f>
        <v>442754</v>
      </c>
      <c r="S340" s="561">
        <v>40956</v>
      </c>
    </row>
    <row r="341" spans="1:19" ht="9.75" customHeight="1">
      <c r="A341" s="562"/>
      <c r="B341" s="230">
        <v>3</v>
      </c>
      <c r="C341" s="562"/>
      <c r="D341" s="571"/>
      <c r="E341" s="563"/>
      <c r="F341" s="676"/>
      <c r="G341" s="600" t="s">
        <v>167</v>
      </c>
      <c r="H341" s="551" t="s">
        <v>170</v>
      </c>
      <c r="I341" s="601" t="s">
        <v>99</v>
      </c>
      <c r="J341" s="552" t="s">
        <v>169</v>
      </c>
      <c r="K341" s="629">
        <v>40872</v>
      </c>
      <c r="L341" s="555" t="s">
        <v>52</v>
      </c>
      <c r="M341" s="601">
        <v>21</v>
      </c>
      <c r="N341" s="638">
        <v>5</v>
      </c>
      <c r="O341" s="666">
        <v>3616.5</v>
      </c>
      <c r="P341" s="667">
        <v>459</v>
      </c>
      <c r="Q341" s="668">
        <f>48871+740+512+11538+3616.5</f>
        <v>65277.5</v>
      </c>
      <c r="R341" s="615">
        <f>5142+80+52+1109+459</f>
        <v>6842</v>
      </c>
      <c r="S341" s="570">
        <v>40907</v>
      </c>
    </row>
    <row r="342" spans="1:19" ht="9.75" customHeight="1">
      <c r="A342" s="527"/>
      <c r="B342" s="527"/>
      <c r="C342" s="527"/>
      <c r="D342" s="527"/>
      <c r="E342" s="533"/>
      <c r="F342" s="533"/>
      <c r="G342" s="652" t="s">
        <v>200</v>
      </c>
      <c r="H342" s="551" t="s">
        <v>205</v>
      </c>
      <c r="I342" s="585" t="s">
        <v>206</v>
      </c>
      <c r="J342" s="585" t="s">
        <v>204</v>
      </c>
      <c r="K342" s="554">
        <v>40872</v>
      </c>
      <c r="L342" s="555" t="s">
        <v>12</v>
      </c>
      <c r="M342" s="551">
        <v>55</v>
      </c>
      <c r="N342" s="556">
        <v>12</v>
      </c>
      <c r="O342" s="618">
        <v>3055</v>
      </c>
      <c r="P342" s="619">
        <v>350</v>
      </c>
      <c r="Q342" s="620">
        <v>761032</v>
      </c>
      <c r="R342" s="589">
        <v>63588</v>
      </c>
      <c r="S342" s="561">
        <v>40949</v>
      </c>
    </row>
    <row r="343" spans="1:19" ht="9.75" customHeight="1">
      <c r="A343" s="571"/>
      <c r="B343" s="571"/>
      <c r="C343" s="571"/>
      <c r="D343" s="571"/>
      <c r="E343" s="572"/>
      <c r="F343" s="572"/>
      <c r="G343" s="584" t="s">
        <v>200</v>
      </c>
      <c r="H343" s="551" t="s">
        <v>205</v>
      </c>
      <c r="I343" s="585" t="s">
        <v>206</v>
      </c>
      <c r="J343" s="585" t="s">
        <v>204</v>
      </c>
      <c r="K343" s="565">
        <v>40872</v>
      </c>
      <c r="L343" s="555" t="s">
        <v>12</v>
      </c>
      <c r="M343" s="551">
        <v>55</v>
      </c>
      <c r="N343" s="556">
        <v>7</v>
      </c>
      <c r="O343" s="595">
        <v>2380</v>
      </c>
      <c r="P343" s="596">
        <v>277</v>
      </c>
      <c r="Q343" s="614">
        <v>757977</v>
      </c>
      <c r="R343" s="615">
        <v>63238</v>
      </c>
      <c r="S343" s="561">
        <v>40935</v>
      </c>
    </row>
    <row r="344" spans="1:19" ht="9.75" customHeight="1">
      <c r="A344" s="571"/>
      <c r="B344" s="571"/>
      <c r="C344" s="571"/>
      <c r="D344" s="571"/>
      <c r="E344" s="572"/>
      <c r="F344" s="572"/>
      <c r="G344" s="584" t="s">
        <v>200</v>
      </c>
      <c r="H344" s="551" t="s">
        <v>205</v>
      </c>
      <c r="I344" s="585" t="s">
        <v>206</v>
      </c>
      <c r="J344" s="585" t="s">
        <v>204</v>
      </c>
      <c r="K344" s="565">
        <v>40872</v>
      </c>
      <c r="L344" s="555" t="s">
        <v>12</v>
      </c>
      <c r="M344" s="577">
        <v>55</v>
      </c>
      <c r="N344" s="590">
        <v>7</v>
      </c>
      <c r="O344" s="591">
        <v>1489</v>
      </c>
      <c r="P344" s="592">
        <v>230</v>
      </c>
      <c r="Q344" s="593">
        <v>755597</v>
      </c>
      <c r="R344" s="594">
        <v>62961</v>
      </c>
      <c r="S344" s="561">
        <v>40914</v>
      </c>
    </row>
    <row r="345" spans="1:19" ht="9.75" customHeight="1">
      <c r="A345" s="562"/>
      <c r="B345" s="562"/>
      <c r="C345" s="562"/>
      <c r="D345" s="562"/>
      <c r="E345" s="563"/>
      <c r="F345" s="583"/>
      <c r="G345" s="584" t="s">
        <v>200</v>
      </c>
      <c r="H345" s="551" t="s">
        <v>205</v>
      </c>
      <c r="I345" s="585" t="s">
        <v>206</v>
      </c>
      <c r="J345" s="585" t="s">
        <v>204</v>
      </c>
      <c r="K345" s="565">
        <v>40872</v>
      </c>
      <c r="L345" s="555" t="s">
        <v>12</v>
      </c>
      <c r="M345" s="551">
        <v>55</v>
      </c>
      <c r="N345" s="556">
        <v>6</v>
      </c>
      <c r="O345" s="586">
        <v>433</v>
      </c>
      <c r="P345" s="587">
        <v>58</v>
      </c>
      <c r="Q345" s="588">
        <v>754108</v>
      </c>
      <c r="R345" s="589">
        <v>62731</v>
      </c>
      <c r="S345" s="570">
        <v>40907</v>
      </c>
    </row>
    <row r="346" spans="1:19" ht="9.75" customHeight="1">
      <c r="A346" s="608"/>
      <c r="B346" s="608"/>
      <c r="C346" s="571"/>
      <c r="D346" s="608"/>
      <c r="E346" s="572"/>
      <c r="F346" s="563"/>
      <c r="G346" s="637" t="s">
        <v>393</v>
      </c>
      <c r="H346" s="551" t="s">
        <v>396</v>
      </c>
      <c r="I346" s="555" t="s">
        <v>394</v>
      </c>
      <c r="J346" s="555" t="s">
        <v>395</v>
      </c>
      <c r="K346" s="565">
        <v>40921</v>
      </c>
      <c r="L346" s="555" t="s">
        <v>370</v>
      </c>
      <c r="M346" s="551">
        <v>30</v>
      </c>
      <c r="N346" s="556">
        <v>1</v>
      </c>
      <c r="O346" s="699">
        <v>209032</v>
      </c>
      <c r="P346" s="700">
        <v>15493</v>
      </c>
      <c r="Q346" s="701">
        <v>209032</v>
      </c>
      <c r="R346" s="702">
        <v>15493</v>
      </c>
      <c r="S346" s="561">
        <v>40921</v>
      </c>
    </row>
    <row r="347" spans="1:19" ht="9.75" customHeight="1">
      <c r="A347" s="616"/>
      <c r="B347" s="616"/>
      <c r="C347" s="527"/>
      <c r="D347" s="616"/>
      <c r="E347" s="533"/>
      <c r="F347" s="532"/>
      <c r="G347" s="689" t="s">
        <v>434</v>
      </c>
      <c r="H347" s="551" t="s">
        <v>435</v>
      </c>
      <c r="I347" s="555" t="s">
        <v>394</v>
      </c>
      <c r="J347" s="555" t="s">
        <v>436</v>
      </c>
      <c r="K347" s="554">
        <v>40816</v>
      </c>
      <c r="L347" s="555" t="s">
        <v>370</v>
      </c>
      <c r="M347" s="551">
        <v>41</v>
      </c>
      <c r="N347" s="556">
        <v>13</v>
      </c>
      <c r="O347" s="703">
        <v>4033</v>
      </c>
      <c r="P347" s="704">
        <v>564</v>
      </c>
      <c r="Q347" s="705">
        <v>478630</v>
      </c>
      <c r="R347" s="706">
        <v>36193</v>
      </c>
      <c r="S347" s="561">
        <v>40949</v>
      </c>
    </row>
    <row r="348" spans="1:19" ht="9.75" customHeight="1">
      <c r="A348" s="608"/>
      <c r="B348" s="608"/>
      <c r="C348" s="571"/>
      <c r="D348" s="608"/>
      <c r="E348" s="572"/>
      <c r="F348" s="563"/>
      <c r="G348" s="637" t="s">
        <v>434</v>
      </c>
      <c r="H348" s="551" t="s">
        <v>435</v>
      </c>
      <c r="I348" s="555" t="s">
        <v>394</v>
      </c>
      <c r="J348" s="555" t="s">
        <v>436</v>
      </c>
      <c r="K348" s="565">
        <v>40816</v>
      </c>
      <c r="L348" s="555" t="s">
        <v>370</v>
      </c>
      <c r="M348" s="551">
        <v>41</v>
      </c>
      <c r="N348" s="707">
        <v>12</v>
      </c>
      <c r="O348" s="699">
        <v>3084</v>
      </c>
      <c r="P348" s="700">
        <v>617</v>
      </c>
      <c r="Q348" s="701">
        <v>1283193</v>
      </c>
      <c r="R348" s="702">
        <v>101565</v>
      </c>
      <c r="S348" s="561">
        <v>40928</v>
      </c>
    </row>
    <row r="349" spans="1:19" ht="9.75" customHeight="1">
      <c r="A349" s="616"/>
      <c r="B349" s="616"/>
      <c r="C349" s="527"/>
      <c r="D349" s="616"/>
      <c r="E349" s="533"/>
      <c r="F349" s="532"/>
      <c r="G349" s="689" t="s">
        <v>434</v>
      </c>
      <c r="H349" s="551" t="s">
        <v>435</v>
      </c>
      <c r="I349" s="555" t="s">
        <v>394</v>
      </c>
      <c r="J349" s="555" t="s">
        <v>436</v>
      </c>
      <c r="K349" s="565">
        <v>40816</v>
      </c>
      <c r="L349" s="555" t="s">
        <v>370</v>
      </c>
      <c r="M349" s="551">
        <v>41</v>
      </c>
      <c r="N349" s="556">
        <v>1</v>
      </c>
      <c r="O349" s="699">
        <v>49</v>
      </c>
      <c r="P349" s="700">
        <v>7</v>
      </c>
      <c r="Q349" s="701">
        <v>1292719</v>
      </c>
      <c r="R349" s="702">
        <v>102776</v>
      </c>
      <c r="S349" s="561">
        <v>40956</v>
      </c>
    </row>
    <row r="350" spans="1:19" ht="9.75" customHeight="1">
      <c r="A350" s="229" t="s">
        <v>223</v>
      </c>
      <c r="B350" s="230">
        <v>3</v>
      </c>
      <c r="C350" s="562"/>
      <c r="D350" s="571"/>
      <c r="E350" s="598" t="s">
        <v>55</v>
      </c>
      <c r="F350" s="631"/>
      <c r="G350" s="635" t="s">
        <v>219</v>
      </c>
      <c r="H350" s="552" t="s">
        <v>183</v>
      </c>
      <c r="I350" s="551" t="s">
        <v>189</v>
      </c>
      <c r="J350" s="602" t="s">
        <v>181</v>
      </c>
      <c r="K350" s="565">
        <v>40907</v>
      </c>
      <c r="L350" s="555" t="s">
        <v>8</v>
      </c>
      <c r="M350" s="630">
        <v>73</v>
      </c>
      <c r="N350" s="683">
        <v>1</v>
      </c>
      <c r="O350" s="566">
        <v>119808</v>
      </c>
      <c r="P350" s="567">
        <v>10660</v>
      </c>
      <c r="Q350" s="568">
        <v>119808</v>
      </c>
      <c r="R350" s="569">
        <v>10660</v>
      </c>
      <c r="S350" s="570">
        <v>40907</v>
      </c>
    </row>
    <row r="351" spans="1:19" ht="9.75" customHeight="1">
      <c r="A351" s="229" t="s">
        <v>223</v>
      </c>
      <c r="B351" s="230">
        <v>3</v>
      </c>
      <c r="C351" s="571"/>
      <c r="D351" s="571"/>
      <c r="E351" s="598" t="s">
        <v>55</v>
      </c>
      <c r="F351" s="631"/>
      <c r="G351" s="635" t="s">
        <v>219</v>
      </c>
      <c r="H351" s="552" t="s">
        <v>183</v>
      </c>
      <c r="I351" s="551" t="s">
        <v>189</v>
      </c>
      <c r="J351" s="602" t="s">
        <v>181</v>
      </c>
      <c r="K351" s="565">
        <v>40907</v>
      </c>
      <c r="L351" s="555" t="s">
        <v>8</v>
      </c>
      <c r="M351" s="708">
        <v>73</v>
      </c>
      <c r="N351" s="691">
        <v>2</v>
      </c>
      <c r="O351" s="579">
        <v>21746</v>
      </c>
      <c r="P351" s="580">
        <v>2043</v>
      </c>
      <c r="Q351" s="581">
        <v>141554</v>
      </c>
      <c r="R351" s="582">
        <v>12703</v>
      </c>
      <c r="S351" s="561">
        <v>40914</v>
      </c>
    </row>
    <row r="352" spans="1:19" ht="9.75" customHeight="1">
      <c r="A352" s="229" t="s">
        <v>223</v>
      </c>
      <c r="B352" s="230">
        <v>3</v>
      </c>
      <c r="C352" s="571"/>
      <c r="D352" s="571"/>
      <c r="E352" s="598" t="s">
        <v>55</v>
      </c>
      <c r="F352" s="631"/>
      <c r="G352" s="635" t="s">
        <v>219</v>
      </c>
      <c r="H352" s="552" t="s">
        <v>183</v>
      </c>
      <c r="I352" s="551" t="s">
        <v>189</v>
      </c>
      <c r="J352" s="602" t="s">
        <v>181</v>
      </c>
      <c r="K352" s="565">
        <v>40907</v>
      </c>
      <c r="L352" s="555" t="s">
        <v>8</v>
      </c>
      <c r="M352" s="630">
        <v>73</v>
      </c>
      <c r="N352" s="683">
        <v>3</v>
      </c>
      <c r="O352" s="684">
        <v>324</v>
      </c>
      <c r="P352" s="685">
        <v>32</v>
      </c>
      <c r="Q352" s="568">
        <v>141554</v>
      </c>
      <c r="R352" s="569">
        <v>12703</v>
      </c>
      <c r="S352" s="561">
        <v>40921</v>
      </c>
    </row>
    <row r="353" spans="1:19" ht="9.75" customHeight="1">
      <c r="A353" s="571"/>
      <c r="B353" s="571"/>
      <c r="C353" s="571"/>
      <c r="D353" s="571"/>
      <c r="E353" s="572"/>
      <c r="F353" s="572"/>
      <c r="G353" s="628" t="s">
        <v>341</v>
      </c>
      <c r="H353" s="551" t="s">
        <v>342</v>
      </c>
      <c r="I353" s="602" t="s">
        <v>189</v>
      </c>
      <c r="J353" s="602" t="s">
        <v>343</v>
      </c>
      <c r="K353" s="629">
        <v>40914</v>
      </c>
      <c r="L353" s="555" t="s">
        <v>8</v>
      </c>
      <c r="M353" s="609">
        <v>36</v>
      </c>
      <c r="N353" s="691">
        <v>1</v>
      </c>
      <c r="O353" s="579">
        <v>273878</v>
      </c>
      <c r="P353" s="580">
        <v>21924</v>
      </c>
      <c r="Q353" s="581">
        <v>273878</v>
      </c>
      <c r="R353" s="582">
        <v>21924</v>
      </c>
      <c r="S353" s="561">
        <v>40914</v>
      </c>
    </row>
    <row r="354" spans="1:19" ht="9.75" customHeight="1">
      <c r="A354" s="571"/>
      <c r="B354" s="571"/>
      <c r="C354" s="571"/>
      <c r="D354" s="571"/>
      <c r="E354" s="572"/>
      <c r="F354" s="572"/>
      <c r="G354" s="628" t="s">
        <v>341</v>
      </c>
      <c r="H354" s="551" t="s">
        <v>342</v>
      </c>
      <c r="I354" s="602" t="s">
        <v>189</v>
      </c>
      <c r="J354" s="602" t="s">
        <v>343</v>
      </c>
      <c r="K354" s="629">
        <v>40914</v>
      </c>
      <c r="L354" s="555" t="s">
        <v>8</v>
      </c>
      <c r="M354" s="602">
        <v>36</v>
      </c>
      <c r="N354" s="683">
        <v>2</v>
      </c>
      <c r="O354" s="684">
        <v>155690</v>
      </c>
      <c r="P354" s="685">
        <v>13332</v>
      </c>
      <c r="Q354" s="568">
        <v>372505</v>
      </c>
      <c r="R354" s="569">
        <v>29481</v>
      </c>
      <c r="S354" s="561">
        <v>40921</v>
      </c>
    </row>
    <row r="355" spans="1:19" ht="9.75" customHeight="1">
      <c r="A355" s="229" t="s">
        <v>223</v>
      </c>
      <c r="B355" s="230">
        <v>3</v>
      </c>
      <c r="C355" s="571"/>
      <c r="D355" s="608"/>
      <c r="E355" s="598" t="s">
        <v>55</v>
      </c>
      <c r="F355" s="572"/>
      <c r="G355" s="628" t="s">
        <v>220</v>
      </c>
      <c r="H355" s="602" t="s">
        <v>93</v>
      </c>
      <c r="I355" s="555" t="s">
        <v>95</v>
      </c>
      <c r="J355" s="602" t="s">
        <v>60</v>
      </c>
      <c r="K355" s="565">
        <v>40760</v>
      </c>
      <c r="L355" s="555" t="s">
        <v>10</v>
      </c>
      <c r="M355" s="585">
        <v>184</v>
      </c>
      <c r="N355" s="638">
        <v>26</v>
      </c>
      <c r="O355" s="566">
        <v>10116</v>
      </c>
      <c r="P355" s="567">
        <v>2291</v>
      </c>
      <c r="Q355" s="568">
        <v>11523435</v>
      </c>
      <c r="R355" s="569">
        <v>1146278</v>
      </c>
      <c r="S355" s="561">
        <v>40935</v>
      </c>
    </row>
    <row r="356" spans="1:19" ht="9.75" customHeight="1">
      <c r="A356" s="229" t="s">
        <v>223</v>
      </c>
      <c r="B356" s="230">
        <v>3</v>
      </c>
      <c r="C356" s="571"/>
      <c r="D356" s="608"/>
      <c r="E356" s="598" t="s">
        <v>55</v>
      </c>
      <c r="F356" s="572"/>
      <c r="G356" s="628" t="s">
        <v>220</v>
      </c>
      <c r="H356" s="602" t="s">
        <v>93</v>
      </c>
      <c r="I356" s="555" t="s">
        <v>95</v>
      </c>
      <c r="J356" s="602" t="s">
        <v>60</v>
      </c>
      <c r="K356" s="565">
        <v>40760</v>
      </c>
      <c r="L356" s="555" t="s">
        <v>10</v>
      </c>
      <c r="M356" s="585">
        <v>184</v>
      </c>
      <c r="N356" s="638">
        <v>25</v>
      </c>
      <c r="O356" s="566">
        <v>4268</v>
      </c>
      <c r="P356" s="567">
        <v>880</v>
      </c>
      <c r="Q356" s="568">
        <v>11513319</v>
      </c>
      <c r="R356" s="569">
        <v>1143987</v>
      </c>
      <c r="S356" s="561">
        <v>40928</v>
      </c>
    </row>
    <row r="357" spans="1:19" ht="9.75" customHeight="1">
      <c r="A357" s="229" t="s">
        <v>223</v>
      </c>
      <c r="B357" s="230">
        <v>3</v>
      </c>
      <c r="C357" s="562"/>
      <c r="D357" s="709"/>
      <c r="E357" s="598" t="s">
        <v>55</v>
      </c>
      <c r="F357" s="583"/>
      <c r="G357" s="628" t="s">
        <v>220</v>
      </c>
      <c r="H357" s="602" t="s">
        <v>93</v>
      </c>
      <c r="I357" s="555" t="s">
        <v>95</v>
      </c>
      <c r="J357" s="602" t="s">
        <v>60</v>
      </c>
      <c r="K357" s="565">
        <v>40760</v>
      </c>
      <c r="L357" s="555" t="s">
        <v>10</v>
      </c>
      <c r="M357" s="585">
        <v>184</v>
      </c>
      <c r="N357" s="638">
        <v>22</v>
      </c>
      <c r="O357" s="566">
        <v>3227</v>
      </c>
      <c r="P357" s="567">
        <v>581</v>
      </c>
      <c r="Q357" s="568">
        <v>11506311</v>
      </c>
      <c r="R357" s="569">
        <v>1142393</v>
      </c>
      <c r="S357" s="570">
        <v>40907</v>
      </c>
    </row>
    <row r="358" spans="1:19" ht="9.75" customHeight="1">
      <c r="A358" s="229" t="s">
        <v>223</v>
      </c>
      <c r="B358" s="230">
        <v>3</v>
      </c>
      <c r="C358" s="571"/>
      <c r="D358" s="710"/>
      <c r="E358" s="598" t="s">
        <v>55</v>
      </c>
      <c r="F358" s="572"/>
      <c r="G358" s="628" t="s">
        <v>220</v>
      </c>
      <c r="H358" s="602" t="s">
        <v>93</v>
      </c>
      <c r="I358" s="555" t="s">
        <v>95</v>
      </c>
      <c r="J358" s="602" t="s">
        <v>60</v>
      </c>
      <c r="K358" s="565">
        <v>40760</v>
      </c>
      <c r="L358" s="555" t="s">
        <v>10</v>
      </c>
      <c r="M358" s="711">
        <v>184</v>
      </c>
      <c r="N358" s="643">
        <v>23</v>
      </c>
      <c r="O358" s="579">
        <v>2676</v>
      </c>
      <c r="P358" s="580">
        <v>704</v>
      </c>
      <c r="Q358" s="581">
        <f>11506311+2676</f>
        <v>11508987</v>
      </c>
      <c r="R358" s="582">
        <f>1142393+704</f>
        <v>1143097</v>
      </c>
      <c r="S358" s="561">
        <v>40914</v>
      </c>
    </row>
    <row r="359" spans="1:19" ht="9.75" customHeight="1">
      <c r="A359" s="530" t="s">
        <v>223</v>
      </c>
      <c r="B359" s="539">
        <v>3</v>
      </c>
      <c r="C359" s="527"/>
      <c r="D359" s="616"/>
      <c r="E359" s="528" t="s">
        <v>55</v>
      </c>
      <c r="F359" s="533"/>
      <c r="G359" s="696" t="s">
        <v>220</v>
      </c>
      <c r="H359" s="602" t="s">
        <v>93</v>
      </c>
      <c r="I359" s="555" t="s">
        <v>95</v>
      </c>
      <c r="J359" s="602" t="s">
        <v>60</v>
      </c>
      <c r="K359" s="565">
        <v>40760</v>
      </c>
      <c r="L359" s="555" t="s">
        <v>10</v>
      </c>
      <c r="M359" s="585">
        <v>184</v>
      </c>
      <c r="N359" s="638">
        <v>2</v>
      </c>
      <c r="O359" s="566">
        <v>2378</v>
      </c>
      <c r="P359" s="567">
        <v>535</v>
      </c>
      <c r="Q359" s="568">
        <v>11528561</v>
      </c>
      <c r="R359" s="569">
        <v>1147374</v>
      </c>
      <c r="S359" s="561">
        <v>40956</v>
      </c>
    </row>
    <row r="360" spans="1:19" ht="9.75" customHeight="1">
      <c r="A360" s="530" t="s">
        <v>223</v>
      </c>
      <c r="B360" s="539">
        <v>3</v>
      </c>
      <c r="C360" s="527"/>
      <c r="D360" s="616"/>
      <c r="E360" s="528" t="s">
        <v>55</v>
      </c>
      <c r="F360" s="533"/>
      <c r="G360" s="696" t="s">
        <v>220</v>
      </c>
      <c r="H360" s="602" t="s">
        <v>93</v>
      </c>
      <c r="I360" s="555" t="s">
        <v>95</v>
      </c>
      <c r="J360" s="602" t="s">
        <v>60</v>
      </c>
      <c r="K360" s="554">
        <v>40760</v>
      </c>
      <c r="L360" s="555" t="s">
        <v>10</v>
      </c>
      <c r="M360" s="585">
        <v>184</v>
      </c>
      <c r="N360" s="638">
        <v>28</v>
      </c>
      <c r="O360" s="557">
        <v>2152</v>
      </c>
      <c r="P360" s="558">
        <v>412</v>
      </c>
      <c r="Q360" s="559">
        <v>11526183</v>
      </c>
      <c r="R360" s="560">
        <v>1146839</v>
      </c>
      <c r="S360" s="561">
        <v>40949</v>
      </c>
    </row>
    <row r="361" spans="1:19" ht="9.75" customHeight="1">
      <c r="A361" s="623" t="s">
        <v>223</v>
      </c>
      <c r="B361" s="686">
        <v>3</v>
      </c>
      <c r="C361" s="573"/>
      <c r="D361" s="648"/>
      <c r="E361" s="626" t="s">
        <v>55</v>
      </c>
      <c r="F361" s="574"/>
      <c r="G361" s="628" t="s">
        <v>220</v>
      </c>
      <c r="H361" s="602" t="s">
        <v>93</v>
      </c>
      <c r="I361" s="555" t="s">
        <v>95</v>
      </c>
      <c r="J361" s="602" t="s">
        <v>60</v>
      </c>
      <c r="K361" s="565">
        <v>40760</v>
      </c>
      <c r="L361" s="555" t="s">
        <v>10</v>
      </c>
      <c r="M361" s="585">
        <v>184</v>
      </c>
      <c r="N361" s="638">
        <v>27</v>
      </c>
      <c r="O361" s="566">
        <v>596</v>
      </c>
      <c r="P361" s="567">
        <v>149</v>
      </c>
      <c r="Q361" s="568">
        <v>11524031</v>
      </c>
      <c r="R361" s="569">
        <v>1146427</v>
      </c>
      <c r="S361" s="561">
        <v>40942</v>
      </c>
    </row>
    <row r="362" spans="1:19" ht="9.75" customHeight="1">
      <c r="A362" s="229" t="s">
        <v>223</v>
      </c>
      <c r="B362" s="230">
        <v>3</v>
      </c>
      <c r="C362" s="571"/>
      <c r="D362" s="710"/>
      <c r="E362" s="598" t="s">
        <v>55</v>
      </c>
      <c r="F362" s="572"/>
      <c r="G362" s="628" t="s">
        <v>220</v>
      </c>
      <c r="H362" s="602" t="s">
        <v>93</v>
      </c>
      <c r="I362" s="555" t="s">
        <v>95</v>
      </c>
      <c r="J362" s="602" t="s">
        <v>60</v>
      </c>
      <c r="K362" s="565">
        <v>40760</v>
      </c>
      <c r="L362" s="555" t="s">
        <v>10</v>
      </c>
      <c r="M362" s="585">
        <v>184</v>
      </c>
      <c r="N362" s="638">
        <v>24</v>
      </c>
      <c r="O362" s="566">
        <v>64</v>
      </c>
      <c r="P362" s="567">
        <v>10</v>
      </c>
      <c r="Q362" s="568">
        <v>11509051</v>
      </c>
      <c r="R362" s="569">
        <v>1143107</v>
      </c>
      <c r="S362" s="561">
        <v>40921</v>
      </c>
    </row>
    <row r="363" spans="1:19" ht="9.75" customHeight="1">
      <c r="A363" s="530" t="s">
        <v>223</v>
      </c>
      <c r="B363" s="539">
        <v>3</v>
      </c>
      <c r="C363" s="527"/>
      <c r="D363" s="527"/>
      <c r="E363" s="528" t="s">
        <v>55</v>
      </c>
      <c r="F363" s="537"/>
      <c r="G363" s="696" t="s">
        <v>174</v>
      </c>
      <c r="H363" s="602" t="s">
        <v>185</v>
      </c>
      <c r="I363" s="602" t="s">
        <v>186</v>
      </c>
      <c r="J363" s="602" t="s">
        <v>177</v>
      </c>
      <c r="K363" s="554">
        <v>39710</v>
      </c>
      <c r="L363" s="555" t="s">
        <v>53</v>
      </c>
      <c r="M363" s="630">
        <v>66</v>
      </c>
      <c r="N363" s="603">
        <v>31</v>
      </c>
      <c r="O363" s="618">
        <v>2402</v>
      </c>
      <c r="P363" s="619">
        <v>480</v>
      </c>
      <c r="Q363" s="620">
        <f>152576+127511+68854.5+21974+10111.5+7103+7290+0.5+1014+3149+989+3524+0.5+3768+138+2528+257+351.5+573.5+184+3655+10+15+10+210+156+3603+3603+1922+1201+1201+2402</f>
        <v>429885</v>
      </c>
      <c r="R363" s="589">
        <f>50018+825+47+65+137+67+1215+2+3+2+35+26+721+720+384+240+240+480</f>
        <v>55227</v>
      </c>
      <c r="S363" s="561">
        <v>40949</v>
      </c>
    </row>
    <row r="364" spans="1:19" ht="9.75" customHeight="1">
      <c r="A364" s="229" t="s">
        <v>223</v>
      </c>
      <c r="B364" s="230">
        <v>3</v>
      </c>
      <c r="C364" s="562"/>
      <c r="D364" s="571"/>
      <c r="E364" s="598" t="s">
        <v>55</v>
      </c>
      <c r="F364" s="631"/>
      <c r="G364" s="628" t="s">
        <v>174</v>
      </c>
      <c r="H364" s="602" t="s">
        <v>185</v>
      </c>
      <c r="I364" s="602" t="s">
        <v>186</v>
      </c>
      <c r="J364" s="602" t="s">
        <v>177</v>
      </c>
      <c r="K364" s="565">
        <v>39710</v>
      </c>
      <c r="L364" s="555" t="s">
        <v>53</v>
      </c>
      <c r="M364" s="630">
        <v>66</v>
      </c>
      <c r="N364" s="603">
        <v>29</v>
      </c>
      <c r="O364" s="604">
        <v>1201</v>
      </c>
      <c r="P364" s="605">
        <v>240</v>
      </c>
      <c r="Q364" s="606">
        <f>152576+127511+68854.5+21974+10111.5+7103+7290+0.5+1014+3149+989+3524+0.5+3768+138+2528+257+351.5+573.5+184+3655+10+15+10+210+156+3603+3603+1922+1201</f>
        <v>426282</v>
      </c>
      <c r="R364" s="607">
        <f>50018+825+47+65+137+67+1215+2+3+2+35+26+721+720+384+240</f>
        <v>54507</v>
      </c>
      <c r="S364" s="570">
        <v>40907</v>
      </c>
    </row>
    <row r="365" spans="1:19" ht="9.75" customHeight="1">
      <c r="A365" s="229" t="s">
        <v>223</v>
      </c>
      <c r="B365" s="230">
        <v>3</v>
      </c>
      <c r="C365" s="571"/>
      <c r="D365" s="571"/>
      <c r="E365" s="598" t="s">
        <v>55</v>
      </c>
      <c r="F365" s="627"/>
      <c r="G365" s="628" t="s">
        <v>174</v>
      </c>
      <c r="H365" s="602" t="s">
        <v>185</v>
      </c>
      <c r="I365" s="602" t="s">
        <v>186</v>
      </c>
      <c r="J365" s="602" t="s">
        <v>177</v>
      </c>
      <c r="K365" s="565">
        <v>39710</v>
      </c>
      <c r="L365" s="555" t="s">
        <v>53</v>
      </c>
      <c r="M365" s="630">
        <v>66</v>
      </c>
      <c r="N365" s="603">
        <v>30</v>
      </c>
      <c r="O365" s="595">
        <v>1201</v>
      </c>
      <c r="P365" s="596">
        <v>240</v>
      </c>
      <c r="Q365" s="614">
        <f>152576+127511+68854.5+21974+10111.5+7103+7290+0.5+1014+3149+989+3524+0.5+3768+138+2528+257+351.5+573.5+184+3655+10+15+10+210+156+3603+3603+1922+1201+1201</f>
        <v>427483</v>
      </c>
      <c r="R365" s="615">
        <f>50018+825+47+65+137+67+1215+2+3+2+35+26+721+720+384+240+240</f>
        <v>54747</v>
      </c>
      <c r="S365" s="561">
        <v>40935</v>
      </c>
    </row>
    <row r="366" spans="1:19" ht="9.75" customHeight="1">
      <c r="A366" s="571"/>
      <c r="B366" s="571"/>
      <c r="C366" s="571"/>
      <c r="D366" s="571"/>
      <c r="E366" s="572"/>
      <c r="F366" s="572"/>
      <c r="G366" s="628" t="s">
        <v>149</v>
      </c>
      <c r="H366" s="551" t="s">
        <v>184</v>
      </c>
      <c r="I366" s="602" t="s">
        <v>189</v>
      </c>
      <c r="J366" s="602" t="s">
        <v>150</v>
      </c>
      <c r="K366" s="629">
        <v>40830</v>
      </c>
      <c r="L366" s="555" t="s">
        <v>8</v>
      </c>
      <c r="M366" s="602">
        <v>60</v>
      </c>
      <c r="N366" s="683">
        <v>11</v>
      </c>
      <c r="O366" s="566">
        <v>7574</v>
      </c>
      <c r="P366" s="567">
        <v>1094</v>
      </c>
      <c r="Q366" s="568">
        <v>393915</v>
      </c>
      <c r="R366" s="569">
        <v>41412</v>
      </c>
      <c r="S366" s="561">
        <v>40928</v>
      </c>
    </row>
    <row r="367" spans="1:19" ht="9.75" customHeight="1">
      <c r="A367" s="527"/>
      <c r="B367" s="527"/>
      <c r="C367" s="527"/>
      <c r="D367" s="527"/>
      <c r="E367" s="533"/>
      <c r="F367" s="533"/>
      <c r="G367" s="696" t="s">
        <v>149</v>
      </c>
      <c r="H367" s="551" t="s">
        <v>184</v>
      </c>
      <c r="I367" s="602" t="s">
        <v>189</v>
      </c>
      <c r="J367" s="602" t="s">
        <v>150</v>
      </c>
      <c r="K367" s="673">
        <v>40830</v>
      </c>
      <c r="L367" s="555" t="s">
        <v>8</v>
      </c>
      <c r="M367" s="602">
        <v>60</v>
      </c>
      <c r="N367" s="683">
        <v>13</v>
      </c>
      <c r="O367" s="557">
        <v>710</v>
      </c>
      <c r="P367" s="558">
        <v>114</v>
      </c>
      <c r="Q367" s="559">
        <v>395335</v>
      </c>
      <c r="R367" s="560">
        <v>41640</v>
      </c>
      <c r="S367" s="561">
        <v>40949</v>
      </c>
    </row>
    <row r="368" spans="1:19" ht="9.75" customHeight="1">
      <c r="A368" s="562"/>
      <c r="B368" s="562"/>
      <c r="C368" s="562"/>
      <c r="D368" s="562"/>
      <c r="E368" s="563"/>
      <c r="F368" s="583"/>
      <c r="G368" s="628" t="s">
        <v>149</v>
      </c>
      <c r="H368" s="551" t="s">
        <v>184</v>
      </c>
      <c r="I368" s="602" t="s">
        <v>189</v>
      </c>
      <c r="J368" s="602" t="s">
        <v>150</v>
      </c>
      <c r="K368" s="629">
        <v>40830</v>
      </c>
      <c r="L368" s="555" t="s">
        <v>8</v>
      </c>
      <c r="M368" s="602">
        <v>60</v>
      </c>
      <c r="N368" s="683">
        <v>9</v>
      </c>
      <c r="O368" s="566">
        <v>476</v>
      </c>
      <c r="P368" s="567">
        <v>70</v>
      </c>
      <c r="Q368" s="568">
        <v>386024</v>
      </c>
      <c r="R368" s="569">
        <v>40273</v>
      </c>
      <c r="S368" s="570">
        <v>40907</v>
      </c>
    </row>
    <row r="369" spans="1:19" ht="9.75" customHeight="1">
      <c r="A369" s="562"/>
      <c r="B369" s="230">
        <v>3</v>
      </c>
      <c r="C369" s="562"/>
      <c r="D369" s="571"/>
      <c r="E369" s="563"/>
      <c r="F369" s="563"/>
      <c r="G369" s="564" t="s">
        <v>274</v>
      </c>
      <c r="H369" s="551" t="s">
        <v>140</v>
      </c>
      <c r="I369" s="552" t="s">
        <v>85</v>
      </c>
      <c r="J369" s="553" t="s">
        <v>286</v>
      </c>
      <c r="K369" s="565">
        <v>40830</v>
      </c>
      <c r="L369" s="555" t="s">
        <v>68</v>
      </c>
      <c r="M369" s="551">
        <v>98</v>
      </c>
      <c r="N369" s="621">
        <v>12</v>
      </c>
      <c r="O369" s="566">
        <v>6668.5</v>
      </c>
      <c r="P369" s="567">
        <v>1646</v>
      </c>
      <c r="Q369" s="568">
        <f>573965.5+340647.5+298149+37925.5+16221+796+1713.5+3994+1930+1403+3582+6668.5</f>
        <v>1286995.5</v>
      </c>
      <c r="R369" s="569">
        <f>50953+31140+27249+4634+2655+127+438+632+617+597+1015+1646</f>
        <v>121703</v>
      </c>
      <c r="S369" s="570">
        <v>40907</v>
      </c>
    </row>
    <row r="370" spans="1:19" ht="9.75" customHeight="1">
      <c r="A370" s="534"/>
      <c r="B370" s="539">
        <v>3</v>
      </c>
      <c r="C370" s="534"/>
      <c r="D370" s="527"/>
      <c r="E370" s="532"/>
      <c r="F370" s="533"/>
      <c r="G370" s="550" t="s">
        <v>274</v>
      </c>
      <c r="H370" s="551" t="s">
        <v>140</v>
      </c>
      <c r="I370" s="552" t="s">
        <v>85</v>
      </c>
      <c r="J370" s="553" t="s">
        <v>286</v>
      </c>
      <c r="K370" s="565">
        <v>40830</v>
      </c>
      <c r="L370" s="555" t="s">
        <v>68</v>
      </c>
      <c r="M370" s="551">
        <v>98</v>
      </c>
      <c r="N370" s="556">
        <v>4</v>
      </c>
      <c r="O370" s="566">
        <v>3207.5</v>
      </c>
      <c r="P370" s="567">
        <v>641</v>
      </c>
      <c r="Q370" s="568">
        <f>573965.5+340647.5+298149+37925.5+16221+796+1713.5+3994+1930+1403+3582+6668.5+488+3207.5</f>
        <v>1290691</v>
      </c>
      <c r="R370" s="569">
        <f>50953+31140+27249+4634+2655+127+438+632+617+597+1015+1646+70+641</f>
        <v>122414</v>
      </c>
      <c r="S370" s="561">
        <v>40956</v>
      </c>
    </row>
    <row r="371" spans="1:19" ht="9.75" customHeight="1">
      <c r="A371" s="562"/>
      <c r="B371" s="230">
        <v>3</v>
      </c>
      <c r="C371" s="562"/>
      <c r="D371" s="571"/>
      <c r="E371" s="563"/>
      <c r="F371" s="572"/>
      <c r="G371" s="564" t="s">
        <v>274</v>
      </c>
      <c r="H371" s="551" t="s">
        <v>140</v>
      </c>
      <c r="I371" s="552" t="s">
        <v>85</v>
      </c>
      <c r="J371" s="553" t="s">
        <v>286</v>
      </c>
      <c r="K371" s="565">
        <v>40830</v>
      </c>
      <c r="L371" s="555" t="s">
        <v>68</v>
      </c>
      <c r="M371" s="577">
        <v>98</v>
      </c>
      <c r="N371" s="590">
        <v>12</v>
      </c>
      <c r="O371" s="579">
        <v>488</v>
      </c>
      <c r="P371" s="580">
        <v>70</v>
      </c>
      <c r="Q371" s="581">
        <f>573965.5+340647.5+298149+37925.5+16221+796+1713.5+3994+1930+1403+3582+6668.5+488</f>
        <v>1287483.5</v>
      </c>
      <c r="R371" s="582">
        <f>50953+31140+27249+4634+2655+127+438+632+617+597+1015+1646+70</f>
        <v>121773</v>
      </c>
      <c r="S371" s="561">
        <v>40914</v>
      </c>
    </row>
    <row r="372" spans="1:19" ht="9.75" customHeight="1">
      <c r="A372" s="562"/>
      <c r="B372" s="571"/>
      <c r="C372" s="571"/>
      <c r="D372" s="571"/>
      <c r="E372" s="571"/>
      <c r="F372" s="572"/>
      <c r="G372" s="584" t="s">
        <v>387</v>
      </c>
      <c r="H372" s="551" t="s">
        <v>83</v>
      </c>
      <c r="I372" s="585" t="s">
        <v>94</v>
      </c>
      <c r="J372" s="585" t="s">
        <v>388</v>
      </c>
      <c r="K372" s="565">
        <v>40851</v>
      </c>
      <c r="L372" s="555" t="s">
        <v>12</v>
      </c>
      <c r="M372" s="551">
        <v>72</v>
      </c>
      <c r="N372" s="556">
        <v>11</v>
      </c>
      <c r="O372" s="595">
        <v>612</v>
      </c>
      <c r="P372" s="596">
        <v>102</v>
      </c>
      <c r="Q372" s="620">
        <v>1116374</v>
      </c>
      <c r="R372" s="589">
        <v>103200</v>
      </c>
      <c r="S372" s="561">
        <v>40921</v>
      </c>
    </row>
    <row r="373" spans="1:19" ht="9.75" customHeight="1">
      <c r="A373" s="571"/>
      <c r="B373" s="571"/>
      <c r="C373" s="571"/>
      <c r="D373" s="571"/>
      <c r="E373" s="571"/>
      <c r="F373" s="572"/>
      <c r="G373" s="660" t="s">
        <v>425</v>
      </c>
      <c r="H373" s="659" t="s">
        <v>91</v>
      </c>
      <c r="I373" s="659" t="s">
        <v>94</v>
      </c>
      <c r="J373" s="552" t="s">
        <v>429</v>
      </c>
      <c r="K373" s="565">
        <v>40907</v>
      </c>
      <c r="L373" s="555" t="s">
        <v>8</v>
      </c>
      <c r="M373" s="630">
        <v>73</v>
      </c>
      <c r="N373" s="556">
        <v>3</v>
      </c>
      <c r="O373" s="712">
        <v>324</v>
      </c>
      <c r="P373" s="713">
        <v>32</v>
      </c>
      <c r="Q373" s="714">
        <v>141554</v>
      </c>
      <c r="R373" s="715">
        <v>12703</v>
      </c>
      <c r="S373" s="561">
        <v>40928</v>
      </c>
    </row>
    <row r="374" spans="1:19" ht="9.75" customHeight="1">
      <c r="A374" s="597"/>
      <c r="B374" s="597"/>
      <c r="C374" s="562"/>
      <c r="D374" s="231" t="s">
        <v>292</v>
      </c>
      <c r="E374" s="563"/>
      <c r="F374" s="583"/>
      <c r="G374" s="564" t="s">
        <v>86</v>
      </c>
      <c r="H374" s="551" t="s">
        <v>90</v>
      </c>
      <c r="I374" s="602" t="s">
        <v>85</v>
      </c>
      <c r="J374" s="602" t="s">
        <v>84</v>
      </c>
      <c r="K374" s="565">
        <v>40865</v>
      </c>
      <c r="L374" s="555" t="s">
        <v>68</v>
      </c>
      <c r="M374" s="602">
        <v>269</v>
      </c>
      <c r="N374" s="556">
        <v>7</v>
      </c>
      <c r="O374" s="566">
        <v>50403.5</v>
      </c>
      <c r="P374" s="567">
        <v>10176</v>
      </c>
      <c r="Q374" s="568">
        <f>5909490.25+3097966.75+1490952+971866.5+533653.5+131687+50403.5</f>
        <v>12186019.5</v>
      </c>
      <c r="R374" s="569">
        <f>649738+347416+170125+112162+66621+19435+10176</f>
        <v>1375673</v>
      </c>
      <c r="S374" s="570">
        <v>40907</v>
      </c>
    </row>
    <row r="375" spans="1:19" ht="9.75" customHeight="1">
      <c r="A375" s="608"/>
      <c r="B375" s="608"/>
      <c r="C375" s="562"/>
      <c r="D375" s="231" t="s">
        <v>292</v>
      </c>
      <c r="E375" s="563"/>
      <c r="F375" s="583"/>
      <c r="G375" s="564" t="s">
        <v>86</v>
      </c>
      <c r="H375" s="551" t="s">
        <v>90</v>
      </c>
      <c r="I375" s="602" t="s">
        <v>85</v>
      </c>
      <c r="J375" s="602" t="s">
        <v>84</v>
      </c>
      <c r="K375" s="565">
        <v>40865</v>
      </c>
      <c r="L375" s="555" t="s">
        <v>68</v>
      </c>
      <c r="M375" s="609">
        <v>269</v>
      </c>
      <c r="N375" s="578">
        <v>8</v>
      </c>
      <c r="O375" s="579">
        <v>9558</v>
      </c>
      <c r="P375" s="580">
        <v>1583</v>
      </c>
      <c r="Q375" s="581">
        <f>5909490.25+3097966.75+1490952+971866.5+533653.5+131687+50452.5+9558</f>
        <v>12195626.5</v>
      </c>
      <c r="R375" s="582">
        <f>649738+347416+170125+112162+66621+19435+10184+1583</f>
        <v>1377264</v>
      </c>
      <c r="S375" s="561">
        <v>40914</v>
      </c>
    </row>
    <row r="376" spans="1:19" ht="9.75" customHeight="1">
      <c r="A376" s="608"/>
      <c r="B376" s="608"/>
      <c r="C376" s="562"/>
      <c r="D376" s="231" t="s">
        <v>292</v>
      </c>
      <c r="E376" s="563"/>
      <c r="F376" s="583"/>
      <c r="G376" s="564" t="s">
        <v>86</v>
      </c>
      <c r="H376" s="551" t="s">
        <v>90</v>
      </c>
      <c r="I376" s="602" t="s">
        <v>85</v>
      </c>
      <c r="J376" s="602" t="s">
        <v>84</v>
      </c>
      <c r="K376" s="565">
        <v>40865</v>
      </c>
      <c r="L376" s="555" t="s">
        <v>68</v>
      </c>
      <c r="M376" s="602">
        <v>269</v>
      </c>
      <c r="N376" s="556">
        <v>9</v>
      </c>
      <c r="O376" s="566">
        <v>4400</v>
      </c>
      <c r="P376" s="567">
        <v>654</v>
      </c>
      <c r="Q376" s="568">
        <f>5909490.25+3097966.75+1490952+971866.5+533653.5+131687+50452.5+9558+4400</f>
        <v>12200026.5</v>
      </c>
      <c r="R376" s="569">
        <f>649738+347416+170125+112162+66621+19435+10184+1583+654</f>
        <v>1377918</v>
      </c>
      <c r="S376" s="561">
        <v>40921</v>
      </c>
    </row>
    <row r="377" spans="1:19" ht="9.75" customHeight="1">
      <c r="A377" s="648"/>
      <c r="B377" s="648"/>
      <c r="C377" s="692"/>
      <c r="D377" s="625" t="s">
        <v>292</v>
      </c>
      <c r="E377" s="575"/>
      <c r="F377" s="716"/>
      <c r="G377" s="564" t="s">
        <v>86</v>
      </c>
      <c r="H377" s="551" t="s">
        <v>90</v>
      </c>
      <c r="I377" s="602" t="s">
        <v>85</v>
      </c>
      <c r="J377" s="602" t="s">
        <v>84</v>
      </c>
      <c r="K377" s="565">
        <v>40865</v>
      </c>
      <c r="L377" s="555" t="s">
        <v>68</v>
      </c>
      <c r="M377" s="602">
        <v>269</v>
      </c>
      <c r="N377" s="576">
        <v>12</v>
      </c>
      <c r="O377" s="566">
        <v>2984</v>
      </c>
      <c r="P377" s="567">
        <v>504</v>
      </c>
      <c r="Q377" s="568">
        <f>5909490.25+3097966.75+1490952+971866.5+533653.5+131687+50452.5+9558+4400+2382+513+2984</f>
        <v>12205905.5</v>
      </c>
      <c r="R377" s="569">
        <f>649738+347416+170125+112162+66621+19435+10184+1583+654+354+78+504</f>
        <v>1378854</v>
      </c>
      <c r="S377" s="561">
        <v>40942</v>
      </c>
    </row>
    <row r="378" spans="1:19" ht="9.75" customHeight="1">
      <c r="A378" s="616"/>
      <c r="B378" s="616"/>
      <c r="C378" s="534"/>
      <c r="D378" s="531" t="s">
        <v>292</v>
      </c>
      <c r="E378" s="532"/>
      <c r="F378" s="535"/>
      <c r="G378" s="550" t="s">
        <v>86</v>
      </c>
      <c r="H378" s="551" t="s">
        <v>90</v>
      </c>
      <c r="I378" s="602" t="s">
        <v>85</v>
      </c>
      <c r="J378" s="602" t="s">
        <v>84</v>
      </c>
      <c r="K378" s="554">
        <v>40865</v>
      </c>
      <c r="L378" s="555" t="s">
        <v>68</v>
      </c>
      <c r="M378" s="602">
        <v>269</v>
      </c>
      <c r="N378" s="556">
        <v>12</v>
      </c>
      <c r="O378" s="557">
        <v>2736</v>
      </c>
      <c r="P378" s="558">
        <v>583</v>
      </c>
      <c r="Q378" s="559">
        <f>5909490.25+3097966.75+1490952+971866.5+533653.5+131687+50452.5+9558+4400+2382+513+2984+2736</f>
        <v>12208641.5</v>
      </c>
      <c r="R378" s="560">
        <f>649738+347416+170125+112162+66621+19435+10184+1583+654+354+78+504+583</f>
        <v>1379437</v>
      </c>
      <c r="S378" s="561">
        <v>40949</v>
      </c>
    </row>
    <row r="379" spans="1:19" ht="9.75" customHeight="1">
      <c r="A379" s="608"/>
      <c r="B379" s="608"/>
      <c r="C379" s="562"/>
      <c r="D379" s="231" t="s">
        <v>292</v>
      </c>
      <c r="E379" s="563"/>
      <c r="F379" s="583"/>
      <c r="G379" s="564" t="s">
        <v>86</v>
      </c>
      <c r="H379" s="551" t="s">
        <v>90</v>
      </c>
      <c r="I379" s="602" t="s">
        <v>85</v>
      </c>
      <c r="J379" s="602" t="s">
        <v>84</v>
      </c>
      <c r="K379" s="565">
        <v>40865</v>
      </c>
      <c r="L379" s="555" t="s">
        <v>68</v>
      </c>
      <c r="M379" s="602">
        <v>269</v>
      </c>
      <c r="N379" s="556">
        <v>10</v>
      </c>
      <c r="O379" s="566">
        <v>1134</v>
      </c>
      <c r="P379" s="567">
        <v>159</v>
      </c>
      <c r="Q379" s="568">
        <f>5909490.25+3097966.75+1490952+971866.5+533653.5+131687+50452.5+9558+4400+2382</f>
        <v>12202408.5</v>
      </c>
      <c r="R379" s="569">
        <f>649738+347416+170125+112162+66621+19435+10184+1583+654+354</f>
        <v>1378272</v>
      </c>
      <c r="S379" s="561">
        <v>40928</v>
      </c>
    </row>
    <row r="380" spans="1:19" ht="9.75" customHeight="1">
      <c r="A380" s="608"/>
      <c r="B380" s="608"/>
      <c r="C380" s="562"/>
      <c r="D380" s="231" t="s">
        <v>292</v>
      </c>
      <c r="E380" s="563"/>
      <c r="F380" s="583"/>
      <c r="G380" s="564" t="s">
        <v>86</v>
      </c>
      <c r="H380" s="551" t="s">
        <v>90</v>
      </c>
      <c r="I380" s="602" t="s">
        <v>85</v>
      </c>
      <c r="J380" s="602" t="s">
        <v>84</v>
      </c>
      <c r="K380" s="565">
        <v>40865</v>
      </c>
      <c r="L380" s="555" t="s">
        <v>68</v>
      </c>
      <c r="M380" s="602">
        <v>269</v>
      </c>
      <c r="N380" s="556">
        <v>11</v>
      </c>
      <c r="O380" s="566">
        <v>513</v>
      </c>
      <c r="P380" s="567">
        <v>78</v>
      </c>
      <c r="Q380" s="568">
        <f>5909490.25+3097966.75+1490952+971866.5+533653.5+131687+50452.5+9558+4400+2382+513</f>
        <v>12202921.5</v>
      </c>
      <c r="R380" s="569">
        <f>649738+347416+170125+112162+66621+19435+10184+1583+654+354+78</f>
        <v>1378350</v>
      </c>
      <c r="S380" s="561">
        <v>40935</v>
      </c>
    </row>
    <row r="381" spans="1:19" ht="9.75" customHeight="1">
      <c r="A381" s="562"/>
      <c r="B381" s="562"/>
      <c r="C381" s="562"/>
      <c r="D381" s="562"/>
      <c r="E381" s="563"/>
      <c r="F381" s="599" t="s">
        <v>54</v>
      </c>
      <c r="G381" s="564" t="s">
        <v>270</v>
      </c>
      <c r="H381" s="551" t="s">
        <v>283</v>
      </c>
      <c r="I381" s="552"/>
      <c r="J381" s="553" t="s">
        <v>270</v>
      </c>
      <c r="K381" s="629">
        <v>40095</v>
      </c>
      <c r="L381" s="555" t="s">
        <v>68</v>
      </c>
      <c r="M381" s="551">
        <v>52</v>
      </c>
      <c r="N381" s="556">
        <v>16</v>
      </c>
      <c r="O381" s="566">
        <v>952</v>
      </c>
      <c r="P381" s="567">
        <v>238</v>
      </c>
      <c r="Q381" s="568">
        <f>108013.25+68864+27976+10214+2402+2209+1188+2968+1780+1780+2427.4+364.82+248.58+1780+1188+952</f>
        <v>234355.05</v>
      </c>
      <c r="R381" s="569">
        <f>12202+8144+4339+1841+481+460+297+742+445+445+599+87+57+445+297+238</f>
        <v>31119</v>
      </c>
      <c r="S381" s="570">
        <v>40907</v>
      </c>
    </row>
    <row r="382" spans="1:19" ht="9.75" customHeight="1">
      <c r="A382" s="573"/>
      <c r="B382" s="573"/>
      <c r="C382" s="573"/>
      <c r="D382" s="573"/>
      <c r="E382" s="574"/>
      <c r="F382" s="634" t="s">
        <v>54</v>
      </c>
      <c r="G382" s="637" t="s">
        <v>649</v>
      </c>
      <c r="H382" s="555" t="s">
        <v>650</v>
      </c>
      <c r="I382" s="555"/>
      <c r="J382" s="555" t="s">
        <v>649</v>
      </c>
      <c r="K382" s="629">
        <v>40900</v>
      </c>
      <c r="L382" s="555" t="s">
        <v>539</v>
      </c>
      <c r="M382" s="551">
        <v>1</v>
      </c>
      <c r="N382" s="556">
        <v>3</v>
      </c>
      <c r="O382" s="595">
        <v>633</v>
      </c>
      <c r="P382" s="596">
        <v>211</v>
      </c>
      <c r="Q382" s="614">
        <v>4823</v>
      </c>
      <c r="R382" s="615">
        <v>630</v>
      </c>
      <c r="S382" s="561">
        <v>40942</v>
      </c>
    </row>
    <row r="383" spans="1:19" ht="9.75" customHeight="1">
      <c r="A383" s="571"/>
      <c r="B383" s="571"/>
      <c r="C383" s="608"/>
      <c r="D383" s="571"/>
      <c r="E383" s="572"/>
      <c r="F383" s="563"/>
      <c r="G383" s="564" t="s">
        <v>443</v>
      </c>
      <c r="H383" s="553" t="s">
        <v>460</v>
      </c>
      <c r="I383" s="553" t="s">
        <v>89</v>
      </c>
      <c r="J383" s="553" t="s">
        <v>451</v>
      </c>
      <c r="K383" s="565">
        <v>40648</v>
      </c>
      <c r="L383" s="555" t="s">
        <v>68</v>
      </c>
      <c r="M383" s="551">
        <v>72</v>
      </c>
      <c r="N383" s="556">
        <v>26</v>
      </c>
      <c r="O383" s="566">
        <v>3801.5</v>
      </c>
      <c r="P383" s="567">
        <v>950</v>
      </c>
      <c r="Q383" s="568">
        <f>313705+218661+94172+73484.5+60319.5+15976+18868+7512+25645.5+15093+6591+2599+2683+1937.5+1629+2257+1715+1468+632+686+483+950+882+2440.5+336+3801.5</f>
        <v>874527</v>
      </c>
      <c r="R383" s="569">
        <f>29673+21437+10530+10169+8845+2631+2981+1155+3600+2641+1030+393+512+262+251+329+256+223+101+108+77+153+142+619+90+950</f>
        <v>99158</v>
      </c>
      <c r="S383" s="561">
        <v>40928</v>
      </c>
    </row>
    <row r="384" spans="1:19" ht="9.75" customHeight="1">
      <c r="A384" s="571"/>
      <c r="B384" s="571"/>
      <c r="C384" s="571"/>
      <c r="D384" s="571"/>
      <c r="E384" s="572"/>
      <c r="F384" s="627"/>
      <c r="G384" s="635" t="s">
        <v>135</v>
      </c>
      <c r="H384" s="551" t="s">
        <v>133</v>
      </c>
      <c r="I384" s="601" t="s">
        <v>99</v>
      </c>
      <c r="J384" s="552" t="s">
        <v>134</v>
      </c>
      <c r="K384" s="629">
        <v>40851</v>
      </c>
      <c r="L384" s="555" t="s">
        <v>52</v>
      </c>
      <c r="M384" s="585">
        <v>29</v>
      </c>
      <c r="N384" s="638">
        <v>9</v>
      </c>
      <c r="O384" s="669">
        <v>1050</v>
      </c>
      <c r="P384" s="670">
        <v>150</v>
      </c>
      <c r="Q384" s="671">
        <f>58904+19329.5+590+8101+236+218+391.5+325+1050</f>
        <v>89145</v>
      </c>
      <c r="R384" s="615">
        <f>5890+1991+54+1603+47+38+47+65+150</f>
        <v>9885</v>
      </c>
      <c r="S384" s="561">
        <v>40921</v>
      </c>
    </row>
    <row r="385" spans="1:19" ht="9.75" customHeight="1">
      <c r="A385" s="562"/>
      <c r="B385" s="562"/>
      <c r="C385" s="562"/>
      <c r="D385" s="562"/>
      <c r="E385" s="563"/>
      <c r="F385" s="676"/>
      <c r="G385" s="635" t="s">
        <v>135</v>
      </c>
      <c r="H385" s="551" t="s">
        <v>133</v>
      </c>
      <c r="I385" s="601" t="s">
        <v>99</v>
      </c>
      <c r="J385" s="552" t="s">
        <v>134</v>
      </c>
      <c r="K385" s="629">
        <v>40851</v>
      </c>
      <c r="L385" s="555" t="s">
        <v>52</v>
      </c>
      <c r="M385" s="585">
        <v>29</v>
      </c>
      <c r="N385" s="638">
        <v>7</v>
      </c>
      <c r="O385" s="666">
        <v>391.5</v>
      </c>
      <c r="P385" s="667">
        <v>47</v>
      </c>
      <c r="Q385" s="668">
        <f>58904+19329.5+590+8101+236+218+391.5</f>
        <v>87770</v>
      </c>
      <c r="R385" s="615">
        <f>5890+1991+54+1603+47+38+47</f>
        <v>9670</v>
      </c>
      <c r="S385" s="570">
        <v>40907</v>
      </c>
    </row>
    <row r="386" spans="1:19" ht="9.75" customHeight="1">
      <c r="A386" s="573"/>
      <c r="B386" s="573"/>
      <c r="C386" s="573"/>
      <c r="D386" s="573"/>
      <c r="E386" s="574"/>
      <c r="F386" s="677"/>
      <c r="G386" s="635" t="s">
        <v>135</v>
      </c>
      <c r="H386" s="551" t="s">
        <v>133</v>
      </c>
      <c r="I386" s="601" t="s">
        <v>99</v>
      </c>
      <c r="J386" s="552" t="s">
        <v>134</v>
      </c>
      <c r="K386" s="629">
        <v>40851</v>
      </c>
      <c r="L386" s="555" t="s">
        <v>52</v>
      </c>
      <c r="M386" s="585">
        <v>29</v>
      </c>
      <c r="N386" s="576">
        <v>10</v>
      </c>
      <c r="O386" s="717">
        <v>132</v>
      </c>
      <c r="P386" s="718">
        <v>22</v>
      </c>
      <c r="Q386" s="719">
        <f>58904+19329.5+590+8101+236+218+391.5+325+1050+132</f>
        <v>89277</v>
      </c>
      <c r="R386" s="720">
        <f>5890+1991+54+1603+47+38+47+65+150+22</f>
        <v>9907</v>
      </c>
      <c r="S386" s="561">
        <v>40942</v>
      </c>
    </row>
    <row r="387" spans="1:19" ht="9.75" customHeight="1">
      <c r="A387" s="527"/>
      <c r="B387" s="527"/>
      <c r="C387" s="527"/>
      <c r="D387" s="527"/>
      <c r="E387" s="533"/>
      <c r="F387" s="537"/>
      <c r="G387" s="632" t="s">
        <v>135</v>
      </c>
      <c r="H387" s="551" t="s">
        <v>133</v>
      </c>
      <c r="I387" s="601" t="s">
        <v>99</v>
      </c>
      <c r="J387" s="552" t="s">
        <v>134</v>
      </c>
      <c r="K387" s="673">
        <v>40851</v>
      </c>
      <c r="L387" s="555" t="s">
        <v>52</v>
      </c>
      <c r="M387" s="585">
        <v>29</v>
      </c>
      <c r="N387" s="556">
        <v>11</v>
      </c>
      <c r="O387" s="618">
        <v>48</v>
      </c>
      <c r="P387" s="619">
        <v>8</v>
      </c>
      <c r="Q387" s="620">
        <f>58904+19329.5+590+8101+236+218+391.5+325+1050+132+48</f>
        <v>89325</v>
      </c>
      <c r="R387" s="589">
        <f>5890+1991+54+1603+47+38+47+65+150+22+8</f>
        <v>9915</v>
      </c>
      <c r="S387" s="561">
        <v>40949</v>
      </c>
    </row>
    <row r="388" spans="1:19" ht="9.75" customHeight="1">
      <c r="A388" s="527"/>
      <c r="B388" s="534"/>
      <c r="C388" s="527"/>
      <c r="D388" s="616"/>
      <c r="E388" s="533"/>
      <c r="F388" s="533"/>
      <c r="G388" s="550" t="s">
        <v>697</v>
      </c>
      <c r="H388" s="553" t="s">
        <v>702</v>
      </c>
      <c r="I388" s="552" t="s">
        <v>89</v>
      </c>
      <c r="J388" s="553" t="s">
        <v>703</v>
      </c>
      <c r="K388" s="554">
        <v>40746</v>
      </c>
      <c r="L388" s="555" t="s">
        <v>68</v>
      </c>
      <c r="M388" s="551">
        <v>8</v>
      </c>
      <c r="N388" s="693">
        <v>12</v>
      </c>
      <c r="O388" s="557">
        <v>1188</v>
      </c>
      <c r="P388" s="558">
        <v>238</v>
      </c>
      <c r="Q388" s="559">
        <f>34995.5+29767+4050+6340+3008.5+4152+1152+3132.5+792+962+1663+1188</f>
        <v>91202.5</v>
      </c>
      <c r="R388" s="560">
        <f>2476+2114+377+695+481+799+155+438+105+135+416+238</f>
        <v>8429</v>
      </c>
      <c r="S388" s="561">
        <v>40949</v>
      </c>
    </row>
    <row r="389" spans="1:19" ht="9.75" customHeight="1">
      <c r="A389" s="229" t="s">
        <v>223</v>
      </c>
      <c r="B389" s="562"/>
      <c r="C389" s="562"/>
      <c r="D389" s="562"/>
      <c r="E389" s="598" t="s">
        <v>55</v>
      </c>
      <c r="F389" s="583"/>
      <c r="G389" s="584" t="s">
        <v>199</v>
      </c>
      <c r="H389" s="551" t="s">
        <v>207</v>
      </c>
      <c r="I389" s="585" t="s">
        <v>94</v>
      </c>
      <c r="J389" s="585" t="s">
        <v>199</v>
      </c>
      <c r="K389" s="629">
        <v>40648</v>
      </c>
      <c r="L389" s="555" t="s">
        <v>12</v>
      </c>
      <c r="M389" s="551">
        <v>76</v>
      </c>
      <c r="N389" s="556">
        <v>38</v>
      </c>
      <c r="O389" s="618">
        <v>608</v>
      </c>
      <c r="P389" s="619">
        <v>119</v>
      </c>
      <c r="Q389" s="620">
        <v>571364</v>
      </c>
      <c r="R389" s="589">
        <v>61448</v>
      </c>
      <c r="S389" s="570">
        <v>40907</v>
      </c>
    </row>
    <row r="390" spans="1:19" ht="9.75" customHeight="1">
      <c r="A390" s="562"/>
      <c r="B390" s="562"/>
      <c r="C390" s="562"/>
      <c r="D390" s="562"/>
      <c r="E390" s="583"/>
      <c r="F390" s="599" t="s">
        <v>54</v>
      </c>
      <c r="G390" s="564" t="s">
        <v>115</v>
      </c>
      <c r="H390" s="551" t="s">
        <v>116</v>
      </c>
      <c r="I390" s="552"/>
      <c r="J390" s="553" t="s">
        <v>115</v>
      </c>
      <c r="K390" s="565">
        <v>40886</v>
      </c>
      <c r="L390" s="555" t="s">
        <v>12</v>
      </c>
      <c r="M390" s="551">
        <v>161</v>
      </c>
      <c r="N390" s="556">
        <v>4</v>
      </c>
      <c r="O390" s="618">
        <v>23157</v>
      </c>
      <c r="P390" s="619">
        <v>3682</v>
      </c>
      <c r="Q390" s="620">
        <v>853031</v>
      </c>
      <c r="R390" s="589">
        <v>102752</v>
      </c>
      <c r="S390" s="570">
        <v>40907</v>
      </c>
    </row>
    <row r="391" spans="1:19" ht="9.75" customHeight="1">
      <c r="A391" s="571"/>
      <c r="B391" s="571"/>
      <c r="C391" s="571"/>
      <c r="D391" s="571"/>
      <c r="E391" s="572"/>
      <c r="F391" s="599" t="s">
        <v>54</v>
      </c>
      <c r="G391" s="564" t="s">
        <v>115</v>
      </c>
      <c r="H391" s="551" t="s">
        <v>116</v>
      </c>
      <c r="I391" s="552"/>
      <c r="J391" s="553" t="s">
        <v>115</v>
      </c>
      <c r="K391" s="565">
        <v>40886</v>
      </c>
      <c r="L391" s="555" t="s">
        <v>12</v>
      </c>
      <c r="M391" s="577">
        <v>161</v>
      </c>
      <c r="N391" s="590">
        <v>5</v>
      </c>
      <c r="O391" s="591">
        <v>11189</v>
      </c>
      <c r="P391" s="592">
        <v>1816</v>
      </c>
      <c r="Q391" s="593">
        <v>864220</v>
      </c>
      <c r="R391" s="594">
        <v>104568</v>
      </c>
      <c r="S391" s="561">
        <v>40914</v>
      </c>
    </row>
    <row r="392" spans="1:19" ht="9.75" customHeight="1">
      <c r="A392" s="571"/>
      <c r="B392" s="571"/>
      <c r="C392" s="571"/>
      <c r="D392" s="571"/>
      <c r="E392" s="572"/>
      <c r="F392" s="599" t="s">
        <v>54</v>
      </c>
      <c r="G392" s="564" t="s">
        <v>115</v>
      </c>
      <c r="H392" s="551" t="s">
        <v>116</v>
      </c>
      <c r="I392" s="552"/>
      <c r="J392" s="553" t="s">
        <v>115</v>
      </c>
      <c r="K392" s="565">
        <v>40886</v>
      </c>
      <c r="L392" s="555" t="s">
        <v>12</v>
      </c>
      <c r="M392" s="551">
        <v>161</v>
      </c>
      <c r="N392" s="556">
        <v>6</v>
      </c>
      <c r="O392" s="595">
        <v>9906</v>
      </c>
      <c r="P392" s="596">
        <v>1845</v>
      </c>
      <c r="Q392" s="620">
        <v>874126</v>
      </c>
      <c r="R392" s="589">
        <v>106413</v>
      </c>
      <c r="S392" s="561">
        <v>40921</v>
      </c>
    </row>
    <row r="393" spans="1:19" ht="9.75" customHeight="1">
      <c r="A393" s="571"/>
      <c r="B393" s="571"/>
      <c r="C393" s="571"/>
      <c r="D393" s="571"/>
      <c r="E393" s="572"/>
      <c r="F393" s="599" t="s">
        <v>54</v>
      </c>
      <c r="G393" s="564" t="s">
        <v>115</v>
      </c>
      <c r="H393" s="551" t="s">
        <v>116</v>
      </c>
      <c r="I393" s="552"/>
      <c r="J393" s="553" t="s">
        <v>115</v>
      </c>
      <c r="K393" s="565">
        <v>40886</v>
      </c>
      <c r="L393" s="555" t="s">
        <v>12</v>
      </c>
      <c r="M393" s="551">
        <v>161</v>
      </c>
      <c r="N393" s="556">
        <v>7</v>
      </c>
      <c r="O393" s="595">
        <v>5488</v>
      </c>
      <c r="P393" s="596">
        <v>871</v>
      </c>
      <c r="Q393" s="614">
        <v>879619</v>
      </c>
      <c r="R393" s="615">
        <v>107284</v>
      </c>
      <c r="S393" s="561">
        <v>40928</v>
      </c>
    </row>
    <row r="394" spans="1:19" ht="9.75" customHeight="1">
      <c r="A394" s="527"/>
      <c r="B394" s="527"/>
      <c r="C394" s="527"/>
      <c r="D394" s="527"/>
      <c r="E394" s="533"/>
      <c r="F394" s="529" t="s">
        <v>54</v>
      </c>
      <c r="G394" s="550" t="s">
        <v>115</v>
      </c>
      <c r="H394" s="551" t="s">
        <v>116</v>
      </c>
      <c r="I394" s="552"/>
      <c r="J394" s="553" t="s">
        <v>115</v>
      </c>
      <c r="K394" s="554">
        <v>40886</v>
      </c>
      <c r="L394" s="555" t="s">
        <v>12</v>
      </c>
      <c r="M394" s="551">
        <v>161</v>
      </c>
      <c r="N394" s="556">
        <v>8</v>
      </c>
      <c r="O394" s="618">
        <v>1197</v>
      </c>
      <c r="P394" s="619">
        <v>189</v>
      </c>
      <c r="Q394" s="620">
        <v>881014</v>
      </c>
      <c r="R394" s="589">
        <v>107500</v>
      </c>
      <c r="S394" s="561">
        <v>40949</v>
      </c>
    </row>
    <row r="395" spans="1:19" ht="9.75" customHeight="1">
      <c r="A395" s="571"/>
      <c r="B395" s="571"/>
      <c r="C395" s="571"/>
      <c r="D395" s="571"/>
      <c r="E395" s="572"/>
      <c r="F395" s="599" t="s">
        <v>54</v>
      </c>
      <c r="G395" s="564" t="s">
        <v>115</v>
      </c>
      <c r="H395" s="551" t="s">
        <v>116</v>
      </c>
      <c r="I395" s="552"/>
      <c r="J395" s="553" t="s">
        <v>115</v>
      </c>
      <c r="K395" s="565">
        <v>40886</v>
      </c>
      <c r="L395" s="555" t="s">
        <v>12</v>
      </c>
      <c r="M395" s="551">
        <v>161</v>
      </c>
      <c r="N395" s="556">
        <v>8</v>
      </c>
      <c r="O395" s="595">
        <v>198</v>
      </c>
      <c r="P395" s="596">
        <v>27</v>
      </c>
      <c r="Q395" s="614">
        <v>879817</v>
      </c>
      <c r="R395" s="615">
        <v>107311</v>
      </c>
      <c r="S395" s="561">
        <v>40935</v>
      </c>
    </row>
    <row r="396" spans="1:19" ht="9.75" customHeight="1">
      <c r="A396" s="527"/>
      <c r="B396" s="527"/>
      <c r="C396" s="527"/>
      <c r="D396" s="527"/>
      <c r="E396" s="533"/>
      <c r="F396" s="529" t="s">
        <v>54</v>
      </c>
      <c r="G396" s="550" t="s">
        <v>656</v>
      </c>
      <c r="H396" s="553" t="s">
        <v>657</v>
      </c>
      <c r="I396" s="553"/>
      <c r="J396" s="553" t="s">
        <v>656</v>
      </c>
      <c r="K396" s="554">
        <v>40662</v>
      </c>
      <c r="L396" s="555" t="s">
        <v>68</v>
      </c>
      <c r="M396" s="551">
        <v>10</v>
      </c>
      <c r="N396" s="556">
        <v>17</v>
      </c>
      <c r="O396" s="557">
        <v>950.5</v>
      </c>
      <c r="P396" s="558">
        <v>190</v>
      </c>
      <c r="Q396" s="559">
        <f>12563.75+2983.5+2680+354+641+412+470+299+1405.5+1335+741+1188+1188+2138.5+2851+594+430+950.5</f>
        <v>33224.75</v>
      </c>
      <c r="R396" s="560">
        <f>1693+350+279+68+81+51+66+35+228+169+92+297+297+535+715+149+188+190</f>
        <v>5483</v>
      </c>
      <c r="S396" s="561">
        <v>40949</v>
      </c>
    </row>
    <row r="397" spans="1:19" ht="9.75" customHeight="1">
      <c r="A397" s="527"/>
      <c r="B397" s="527"/>
      <c r="C397" s="527"/>
      <c r="D397" s="527"/>
      <c r="E397" s="533"/>
      <c r="F397" s="529" t="s">
        <v>54</v>
      </c>
      <c r="G397" s="564" t="s">
        <v>656</v>
      </c>
      <c r="H397" s="553" t="s">
        <v>657</v>
      </c>
      <c r="I397" s="553"/>
      <c r="J397" s="553" t="s">
        <v>656</v>
      </c>
      <c r="K397" s="565">
        <v>40662</v>
      </c>
      <c r="L397" s="555" t="s">
        <v>68</v>
      </c>
      <c r="M397" s="551">
        <v>10</v>
      </c>
      <c r="N397" s="556">
        <v>17</v>
      </c>
      <c r="O397" s="566">
        <v>430</v>
      </c>
      <c r="P397" s="567">
        <v>188</v>
      </c>
      <c r="Q397" s="568">
        <f>12563.75+2983.5+2680+354+641+412+470+299+1405.5+1335+741+1188+1188+2138.5+2851+594+430</f>
        <v>32274.25</v>
      </c>
      <c r="R397" s="569">
        <f>1693+350+279+68+81+51+66+35+228+169+92+297+297+535+715+149+188</f>
        <v>5293</v>
      </c>
      <c r="S397" s="561">
        <v>40942</v>
      </c>
    </row>
  </sheetData>
  <sheetProtection/>
  <mergeCells count="2">
    <mergeCell ref="A1:S1"/>
    <mergeCell ref="A3:F3"/>
  </mergeCells>
  <printOptions/>
  <pageMargins left="0.7" right="0.7" top="0.75" bottom="0.75" header="0.3" footer="0.3"/>
  <pageSetup orientation="portrait" paperSize="9"/>
  <ignoredErrors>
    <ignoredError sqref="Q5:R71 Q72:R96 Q97:R127 O128:R229 O97:P127 Q234:R256 Q257:R271 O272:R297 O257:P271 O307:R333 Q358:R380 Q381:R398" unlockedFormula="1"/>
  </ignoredErrors>
</worksheet>
</file>

<file path=xl/worksheets/sheet5.xml><?xml version="1.0" encoding="utf-8"?>
<worksheet xmlns="http://schemas.openxmlformats.org/spreadsheetml/2006/main" xmlns:r="http://schemas.openxmlformats.org/officeDocument/2006/relationships">
  <dimension ref="A1:S41"/>
  <sheetViews>
    <sheetView zoomScalePageLayoutView="0" workbookViewId="0" topLeftCell="A1">
      <selection activeCell="A3" sqref="A3:G3"/>
    </sheetView>
  </sheetViews>
  <sheetFormatPr defaultColWidth="9.140625" defaultRowHeight="12.75"/>
  <cols>
    <col min="1" max="1" width="1.8515625" style="0" customWidth="1"/>
    <col min="2" max="2" width="2.00390625" style="0" bestFit="1" customWidth="1"/>
    <col min="3" max="4" width="1.8515625" style="0" customWidth="1"/>
    <col min="5" max="5" width="1.7109375" style="0" bestFit="1" customWidth="1"/>
    <col min="6" max="6" width="2.00390625" style="0" bestFit="1" customWidth="1"/>
    <col min="7" max="7" width="1.7109375" style="0" bestFit="1" customWidth="1"/>
    <col min="8" max="8" width="50.00390625" style="0" bestFit="1" customWidth="1"/>
    <col min="9" max="9" width="22.00390625" style="0" bestFit="1" customWidth="1"/>
    <col min="10" max="10" width="17.8515625" style="0" bestFit="1" customWidth="1"/>
    <col min="11" max="11" width="39.8515625" style="0" bestFit="1" customWidth="1"/>
    <col min="12" max="12" width="7.8515625" style="0" bestFit="1" customWidth="1"/>
    <col min="13" max="13" width="19.7109375" style="0" bestFit="1" customWidth="1"/>
    <col min="14" max="14" width="6.7109375" style="0" bestFit="1" customWidth="1"/>
    <col min="15" max="15" width="5.421875" style="0" bestFit="1" customWidth="1"/>
    <col min="16" max="16" width="12.28125" style="0" bestFit="1" customWidth="1"/>
    <col min="17" max="17" width="8.8515625" style="0" bestFit="1" customWidth="1"/>
    <col min="18" max="18" width="5.421875" style="0" bestFit="1" customWidth="1"/>
    <col min="19" max="19" width="7.8515625" style="0" bestFit="1" customWidth="1"/>
  </cols>
  <sheetData>
    <row r="1" spans="1:19" ht="15">
      <c r="A1" s="941" t="s">
        <v>727</v>
      </c>
      <c r="B1" s="941"/>
      <c r="C1" s="941"/>
      <c r="D1" s="941"/>
      <c r="E1" s="941"/>
      <c r="F1" s="941"/>
      <c r="G1" s="941"/>
      <c r="H1" s="941"/>
      <c r="I1" s="941"/>
      <c r="J1" s="941"/>
      <c r="K1" s="941"/>
      <c r="L1" s="941"/>
      <c r="M1" s="941"/>
      <c r="N1" s="941"/>
      <c r="O1" s="941"/>
      <c r="P1" s="941"/>
      <c r="Q1" s="941"/>
      <c r="R1" s="941"/>
      <c r="S1" s="941"/>
    </row>
    <row r="2" spans="1:19" ht="12.75">
      <c r="A2" s="304"/>
      <c r="B2" s="304"/>
      <c r="C2" s="304"/>
      <c r="D2" s="304"/>
      <c r="E2" s="304"/>
      <c r="F2" s="304"/>
      <c r="G2" s="304"/>
      <c r="H2" s="304"/>
      <c r="I2" s="304"/>
      <c r="J2" s="304"/>
      <c r="K2" s="304"/>
      <c r="L2" s="304" t="s">
        <v>409</v>
      </c>
      <c r="M2" s="304"/>
      <c r="N2" s="304" t="s">
        <v>410</v>
      </c>
      <c r="O2" s="304"/>
      <c r="P2" s="304" t="s">
        <v>314</v>
      </c>
      <c r="Q2" s="304" t="s">
        <v>314</v>
      </c>
      <c r="R2" s="304"/>
      <c r="S2" s="304" t="s">
        <v>411</v>
      </c>
    </row>
    <row r="3" spans="1:19" ht="13.5" thickBot="1">
      <c r="A3" s="942" t="s">
        <v>412</v>
      </c>
      <c r="B3" s="942"/>
      <c r="C3" s="942"/>
      <c r="D3" s="942"/>
      <c r="E3" s="942"/>
      <c r="F3" s="942"/>
      <c r="G3" s="942"/>
      <c r="H3" s="388" t="s">
        <v>413</v>
      </c>
      <c r="I3" s="388" t="s">
        <v>414</v>
      </c>
      <c r="J3" s="388" t="s">
        <v>415</v>
      </c>
      <c r="K3" s="388" t="s">
        <v>416</v>
      </c>
      <c r="L3" s="388" t="s">
        <v>417</v>
      </c>
      <c r="M3" s="388" t="s">
        <v>418</v>
      </c>
      <c r="N3" s="388" t="s">
        <v>419</v>
      </c>
      <c r="O3" s="388" t="s">
        <v>310</v>
      </c>
      <c r="P3" s="388" t="s">
        <v>315</v>
      </c>
      <c r="Q3" s="388" t="s">
        <v>316</v>
      </c>
      <c r="R3" s="388" t="s">
        <v>420</v>
      </c>
      <c r="S3" s="388" t="s">
        <v>421</v>
      </c>
    </row>
    <row r="4" spans="1:19" ht="15.75">
      <c r="A4" s="365"/>
      <c r="B4" s="365"/>
      <c r="C4" s="365"/>
      <c r="D4" s="520">
        <v>2</v>
      </c>
      <c r="E4" s="365"/>
      <c r="F4" s="365"/>
      <c r="G4" s="501" t="s">
        <v>54</v>
      </c>
      <c r="H4" s="721" t="s">
        <v>718</v>
      </c>
      <c r="I4" s="309" t="s">
        <v>719</v>
      </c>
      <c r="J4" s="256"/>
      <c r="K4" s="416" t="s">
        <v>718</v>
      </c>
      <c r="L4" s="510">
        <v>40956</v>
      </c>
      <c r="M4" s="224" t="s">
        <v>68</v>
      </c>
      <c r="N4" s="722">
        <v>440</v>
      </c>
      <c r="O4" s="310">
        <v>1</v>
      </c>
      <c r="P4" s="511">
        <f>21413767.22</f>
        <v>21413767.22</v>
      </c>
      <c r="Q4" s="523">
        <f>2475453</f>
        <v>2475453</v>
      </c>
      <c r="R4" s="347">
        <f aca="true" t="shared" si="0" ref="R4:R41">P4/Q4</f>
        <v>8.650443866233775</v>
      </c>
      <c r="S4" s="454">
        <v>40956</v>
      </c>
    </row>
    <row r="5" spans="1:19" ht="15.75">
      <c r="A5" s="349"/>
      <c r="B5" s="349"/>
      <c r="C5" s="349"/>
      <c r="D5" s="349"/>
      <c r="E5" s="349"/>
      <c r="F5" s="350"/>
      <c r="G5" s="353" t="s">
        <v>54</v>
      </c>
      <c r="H5" s="207" t="s">
        <v>566</v>
      </c>
      <c r="I5" s="61" t="s">
        <v>348</v>
      </c>
      <c r="J5" s="66"/>
      <c r="K5" s="66" t="s">
        <v>566</v>
      </c>
      <c r="L5" s="226">
        <v>40935</v>
      </c>
      <c r="M5" s="64" t="s">
        <v>12</v>
      </c>
      <c r="N5" s="272">
        <v>352</v>
      </c>
      <c r="O5" s="264">
        <v>4</v>
      </c>
      <c r="P5" s="268">
        <v>16954478</v>
      </c>
      <c r="Q5" s="269">
        <v>1824977</v>
      </c>
      <c r="R5" s="270">
        <f t="shared" si="0"/>
        <v>9.290242014008944</v>
      </c>
      <c r="S5" s="223">
        <v>40956</v>
      </c>
    </row>
    <row r="6" spans="1:19" ht="15.75">
      <c r="A6" s="349"/>
      <c r="B6" s="361" t="s">
        <v>223</v>
      </c>
      <c r="C6" s="356">
        <v>3</v>
      </c>
      <c r="D6" s="364">
        <v>2</v>
      </c>
      <c r="E6" s="349"/>
      <c r="F6" s="354" t="s">
        <v>55</v>
      </c>
      <c r="G6" s="350"/>
      <c r="H6" s="211" t="s">
        <v>383</v>
      </c>
      <c r="I6" s="61" t="s">
        <v>217</v>
      </c>
      <c r="J6" s="65" t="s">
        <v>94</v>
      </c>
      <c r="K6" s="63" t="s">
        <v>384</v>
      </c>
      <c r="L6" s="225">
        <v>40921</v>
      </c>
      <c r="M6" s="64" t="s">
        <v>12</v>
      </c>
      <c r="N6" s="263">
        <v>101</v>
      </c>
      <c r="O6" s="264">
        <v>6</v>
      </c>
      <c r="P6" s="508">
        <v>7163426</v>
      </c>
      <c r="Q6" s="269">
        <v>679769</v>
      </c>
      <c r="R6" s="270">
        <f t="shared" si="0"/>
        <v>10.538029830721907</v>
      </c>
      <c r="S6" s="223">
        <v>40956</v>
      </c>
    </row>
    <row r="7" spans="1:19" ht="15.75">
      <c r="A7" s="349"/>
      <c r="B7" s="349"/>
      <c r="C7" s="349"/>
      <c r="D7" s="349"/>
      <c r="E7" s="349"/>
      <c r="F7" s="350"/>
      <c r="G7" s="353" t="s">
        <v>54</v>
      </c>
      <c r="H7" s="209" t="s">
        <v>347</v>
      </c>
      <c r="I7" s="61" t="s">
        <v>348</v>
      </c>
      <c r="J7" s="68"/>
      <c r="K7" s="68" t="s">
        <v>347</v>
      </c>
      <c r="L7" s="225">
        <v>40914</v>
      </c>
      <c r="M7" s="64" t="s">
        <v>12</v>
      </c>
      <c r="N7" s="263">
        <v>204</v>
      </c>
      <c r="O7" s="264">
        <v>7</v>
      </c>
      <c r="P7" s="268">
        <v>5357351</v>
      </c>
      <c r="Q7" s="269">
        <v>578060</v>
      </c>
      <c r="R7" s="270">
        <f t="shared" si="0"/>
        <v>9.267811299865066</v>
      </c>
      <c r="S7" s="223">
        <v>40956</v>
      </c>
    </row>
    <row r="8" spans="1:19" ht="15.75">
      <c r="A8" s="349"/>
      <c r="B8" s="361" t="s">
        <v>223</v>
      </c>
      <c r="C8" s="356">
        <v>3</v>
      </c>
      <c r="D8" s="349"/>
      <c r="E8" s="360" t="s">
        <v>292</v>
      </c>
      <c r="F8" s="354" t="s">
        <v>55</v>
      </c>
      <c r="G8" s="351"/>
      <c r="H8" s="215" t="s">
        <v>430</v>
      </c>
      <c r="I8" s="61" t="s">
        <v>432</v>
      </c>
      <c r="J8" s="62" t="s">
        <v>95</v>
      </c>
      <c r="K8" s="64" t="s">
        <v>431</v>
      </c>
      <c r="L8" s="225">
        <v>40928</v>
      </c>
      <c r="M8" s="64" t="s">
        <v>10</v>
      </c>
      <c r="N8" s="263">
        <v>202</v>
      </c>
      <c r="O8" s="277">
        <v>5</v>
      </c>
      <c r="P8" s="276">
        <v>5123558</v>
      </c>
      <c r="Q8" s="278">
        <v>504698</v>
      </c>
      <c r="R8" s="270">
        <f t="shared" si="0"/>
        <v>10.1517303417093</v>
      </c>
      <c r="S8" s="223">
        <v>40956</v>
      </c>
    </row>
    <row r="9" spans="1:19" ht="15.75">
      <c r="A9" s="349"/>
      <c r="B9" s="349"/>
      <c r="C9" s="349"/>
      <c r="D9" s="349"/>
      <c r="E9" s="349"/>
      <c r="F9" s="350"/>
      <c r="G9" s="349"/>
      <c r="H9" s="211" t="s">
        <v>635</v>
      </c>
      <c r="I9" s="61" t="s">
        <v>641</v>
      </c>
      <c r="J9" s="62" t="s">
        <v>95</v>
      </c>
      <c r="K9" s="63" t="s">
        <v>648</v>
      </c>
      <c r="L9" s="225">
        <v>40942</v>
      </c>
      <c r="M9" s="64" t="s">
        <v>10</v>
      </c>
      <c r="N9" s="284">
        <v>143</v>
      </c>
      <c r="O9" s="277">
        <v>3</v>
      </c>
      <c r="P9" s="276">
        <v>2443069</v>
      </c>
      <c r="Q9" s="278">
        <v>214601</v>
      </c>
      <c r="R9" s="270">
        <f t="shared" si="0"/>
        <v>11.384238656856212</v>
      </c>
      <c r="S9" s="223">
        <v>40956</v>
      </c>
    </row>
    <row r="10" spans="1:19" ht="15.75">
      <c r="A10" s="349"/>
      <c r="B10" s="349"/>
      <c r="C10" s="349"/>
      <c r="D10" s="349"/>
      <c r="E10" s="349"/>
      <c r="F10" s="370"/>
      <c r="G10" s="351"/>
      <c r="H10" s="215" t="s">
        <v>391</v>
      </c>
      <c r="I10" s="61" t="s">
        <v>93</v>
      </c>
      <c r="J10" s="62" t="s">
        <v>95</v>
      </c>
      <c r="K10" s="64" t="s">
        <v>392</v>
      </c>
      <c r="L10" s="225">
        <v>40556</v>
      </c>
      <c r="M10" s="64" t="s">
        <v>10</v>
      </c>
      <c r="N10" s="263">
        <v>85</v>
      </c>
      <c r="O10" s="277">
        <v>6</v>
      </c>
      <c r="P10" s="276">
        <v>1962481</v>
      </c>
      <c r="Q10" s="278">
        <v>177621</v>
      </c>
      <c r="R10" s="270">
        <f t="shared" si="0"/>
        <v>11.048699196604005</v>
      </c>
      <c r="S10" s="223">
        <v>40956</v>
      </c>
    </row>
    <row r="11" spans="1:19" ht="15.75">
      <c r="A11" s="349"/>
      <c r="B11" s="349"/>
      <c r="C11" s="359"/>
      <c r="D11" s="364">
        <v>2</v>
      </c>
      <c r="E11" s="362"/>
      <c r="F11" s="349"/>
      <c r="G11" s="357"/>
      <c r="H11" s="207" t="s">
        <v>720</v>
      </c>
      <c r="I11" s="66" t="s">
        <v>440</v>
      </c>
      <c r="J11" s="61" t="s">
        <v>189</v>
      </c>
      <c r="K11" s="66" t="s">
        <v>721</v>
      </c>
      <c r="L11" s="226">
        <v>40956</v>
      </c>
      <c r="M11" s="64" t="s">
        <v>8</v>
      </c>
      <c r="N11" s="280">
        <v>160</v>
      </c>
      <c r="O11" s="273">
        <v>1</v>
      </c>
      <c r="P11" s="276">
        <v>1575487</v>
      </c>
      <c r="Q11" s="278">
        <v>148477</v>
      </c>
      <c r="R11" s="270">
        <f t="shared" si="0"/>
        <v>10.61098351933296</v>
      </c>
      <c r="S11" s="223">
        <v>40956</v>
      </c>
    </row>
    <row r="12" spans="1:19" ht="15.75">
      <c r="A12" s="349"/>
      <c r="B12" s="349"/>
      <c r="C12" s="356">
        <v>3</v>
      </c>
      <c r="D12" s="349"/>
      <c r="E12" s="349"/>
      <c r="F12" s="350"/>
      <c r="G12" s="350"/>
      <c r="H12" s="207" t="s">
        <v>345</v>
      </c>
      <c r="I12" s="61" t="s">
        <v>126</v>
      </c>
      <c r="J12" s="66" t="s">
        <v>89</v>
      </c>
      <c r="K12" s="66" t="s">
        <v>352</v>
      </c>
      <c r="L12" s="226">
        <v>40914</v>
      </c>
      <c r="M12" s="64" t="s">
        <v>68</v>
      </c>
      <c r="N12" s="263">
        <v>66</v>
      </c>
      <c r="O12" s="264">
        <v>7</v>
      </c>
      <c r="P12" s="276">
        <f>683638.5+541400+108974+11712.95+7203.5+24918.21+6723.58</f>
        <v>1384570.74</v>
      </c>
      <c r="Q12" s="278">
        <f>65177+52837+11432+1468+1076+3492+1060</f>
        <v>136542</v>
      </c>
      <c r="R12" s="270">
        <f t="shared" si="0"/>
        <v>10.140255306059673</v>
      </c>
      <c r="S12" s="223">
        <v>40956</v>
      </c>
    </row>
    <row r="13" spans="1:19" ht="15.75">
      <c r="A13" s="349"/>
      <c r="B13" s="349"/>
      <c r="C13" s="349"/>
      <c r="D13" s="349"/>
      <c r="E13" s="349"/>
      <c r="F13" s="350"/>
      <c r="G13" s="350"/>
      <c r="H13" s="209" t="s">
        <v>433</v>
      </c>
      <c r="I13" s="61" t="s">
        <v>91</v>
      </c>
      <c r="J13" s="68" t="s">
        <v>94</v>
      </c>
      <c r="K13" s="68" t="s">
        <v>426</v>
      </c>
      <c r="L13" s="225">
        <v>40928</v>
      </c>
      <c r="M13" s="64" t="s">
        <v>12</v>
      </c>
      <c r="N13" s="263">
        <v>57</v>
      </c>
      <c r="O13" s="264">
        <v>5</v>
      </c>
      <c r="P13" s="268">
        <v>1075035</v>
      </c>
      <c r="Q13" s="269">
        <v>112870</v>
      </c>
      <c r="R13" s="270">
        <f t="shared" si="0"/>
        <v>9.524541507929476</v>
      </c>
      <c r="S13" s="223">
        <v>40956</v>
      </c>
    </row>
    <row r="14" spans="1:19" ht="15.75">
      <c r="A14" s="349"/>
      <c r="B14" s="349"/>
      <c r="C14" s="349"/>
      <c r="D14" s="349"/>
      <c r="E14" s="349"/>
      <c r="F14" s="350"/>
      <c r="G14" s="353" t="s">
        <v>54</v>
      </c>
      <c r="H14" s="538" t="s">
        <v>381</v>
      </c>
      <c r="I14" s="64" t="s">
        <v>382</v>
      </c>
      <c r="J14" s="64"/>
      <c r="K14" s="64" t="s">
        <v>381</v>
      </c>
      <c r="L14" s="225">
        <v>40921</v>
      </c>
      <c r="M14" s="64" t="s">
        <v>52</v>
      </c>
      <c r="N14" s="263">
        <v>49</v>
      </c>
      <c r="O14" s="264">
        <v>6</v>
      </c>
      <c r="P14" s="282">
        <f>357713+343246.5+115529.5+51137+24830.5+11883</f>
        <v>904339.5</v>
      </c>
      <c r="Q14" s="283">
        <f>33400+31498+10192+4818+3004+1638</f>
        <v>84550</v>
      </c>
      <c r="R14" s="270">
        <f t="shared" si="0"/>
        <v>10.695913660555885</v>
      </c>
      <c r="S14" s="223">
        <v>40956</v>
      </c>
    </row>
    <row r="15" spans="1:19" ht="15.75">
      <c r="A15" s="349"/>
      <c r="B15" s="370"/>
      <c r="C15" s="370"/>
      <c r="D15" s="370"/>
      <c r="E15" s="370"/>
      <c r="F15" s="370"/>
      <c r="G15" s="351"/>
      <c r="H15" s="215" t="s">
        <v>679</v>
      </c>
      <c r="I15" s="61" t="s">
        <v>680</v>
      </c>
      <c r="J15" s="62" t="s">
        <v>95</v>
      </c>
      <c r="K15" s="64" t="s">
        <v>681</v>
      </c>
      <c r="L15" s="225">
        <v>40949</v>
      </c>
      <c r="M15" s="64" t="s">
        <v>10</v>
      </c>
      <c r="N15" s="284">
        <v>65</v>
      </c>
      <c r="O15" s="277">
        <v>2</v>
      </c>
      <c r="P15" s="276">
        <v>781446</v>
      </c>
      <c r="Q15" s="278">
        <v>71841</v>
      </c>
      <c r="R15" s="270">
        <f t="shared" si="0"/>
        <v>10.877437674865327</v>
      </c>
      <c r="S15" s="223">
        <v>40956</v>
      </c>
    </row>
    <row r="16" spans="1:19" ht="15.75">
      <c r="A16" s="349"/>
      <c r="B16" s="361" t="s">
        <v>223</v>
      </c>
      <c r="C16" s="349"/>
      <c r="D16" s="349"/>
      <c r="E16" s="349"/>
      <c r="F16" s="350"/>
      <c r="G16" s="350"/>
      <c r="H16" s="207" t="s">
        <v>716</v>
      </c>
      <c r="I16" s="61" t="s">
        <v>92</v>
      </c>
      <c r="J16" s="66" t="s">
        <v>94</v>
      </c>
      <c r="K16" s="66" t="s">
        <v>717</v>
      </c>
      <c r="L16" s="226">
        <v>40956</v>
      </c>
      <c r="M16" s="64" t="s">
        <v>12</v>
      </c>
      <c r="N16" s="272">
        <v>90</v>
      </c>
      <c r="O16" s="264">
        <v>1</v>
      </c>
      <c r="P16" s="268">
        <v>749423</v>
      </c>
      <c r="Q16" s="269">
        <v>68558</v>
      </c>
      <c r="R16" s="270">
        <f t="shared" si="0"/>
        <v>10.93122611511421</v>
      </c>
      <c r="S16" s="223">
        <v>40956</v>
      </c>
    </row>
    <row r="17" spans="1:19" ht="15.75">
      <c r="A17" s="349"/>
      <c r="B17" s="349"/>
      <c r="C17" s="349"/>
      <c r="D17" s="349"/>
      <c r="E17" s="349"/>
      <c r="F17" s="350"/>
      <c r="G17" s="350"/>
      <c r="H17" s="211" t="s">
        <v>672</v>
      </c>
      <c r="I17" s="61" t="s">
        <v>676</v>
      </c>
      <c r="J17" s="68" t="s">
        <v>94</v>
      </c>
      <c r="K17" s="63" t="s">
        <v>674</v>
      </c>
      <c r="L17" s="226">
        <v>40949</v>
      </c>
      <c r="M17" s="64" t="s">
        <v>12</v>
      </c>
      <c r="N17" s="263">
        <v>73</v>
      </c>
      <c r="O17" s="264">
        <v>2</v>
      </c>
      <c r="P17" s="268">
        <v>714975</v>
      </c>
      <c r="Q17" s="269">
        <v>64029</v>
      </c>
      <c r="R17" s="270">
        <f t="shared" si="0"/>
        <v>11.166424588858174</v>
      </c>
      <c r="S17" s="223">
        <v>40956</v>
      </c>
    </row>
    <row r="18" spans="1:19" ht="15.75">
      <c r="A18" s="349"/>
      <c r="B18" s="361" t="s">
        <v>223</v>
      </c>
      <c r="C18" s="349"/>
      <c r="D18" s="349"/>
      <c r="E18" s="349"/>
      <c r="F18" s="350"/>
      <c r="G18" s="350"/>
      <c r="H18" s="207" t="s">
        <v>344</v>
      </c>
      <c r="I18" s="61" t="s">
        <v>126</v>
      </c>
      <c r="J18" s="66" t="s">
        <v>89</v>
      </c>
      <c r="K18" s="66" t="s">
        <v>351</v>
      </c>
      <c r="L18" s="226">
        <v>40914</v>
      </c>
      <c r="M18" s="64" t="s">
        <v>68</v>
      </c>
      <c r="N18" s="263">
        <v>56</v>
      </c>
      <c r="O18" s="264">
        <v>7</v>
      </c>
      <c r="P18" s="276">
        <f>212792+161708.5+190927+56533.48+39859.88+22564.8+12520.5</f>
        <v>696906.16</v>
      </c>
      <c r="Q18" s="278">
        <f>19942+16687+19909+5952+4552+2963+2467</f>
        <v>72472</v>
      </c>
      <c r="R18" s="270">
        <f t="shared" si="0"/>
        <v>9.616212606247931</v>
      </c>
      <c r="S18" s="223">
        <v>40956</v>
      </c>
    </row>
    <row r="19" spans="1:19" ht="15.75">
      <c r="A19" s="349"/>
      <c r="B19" s="349"/>
      <c r="C19" s="349"/>
      <c r="D19" s="349"/>
      <c r="E19" s="349"/>
      <c r="F19" s="350"/>
      <c r="G19" s="350"/>
      <c r="H19" s="213" t="s">
        <v>214</v>
      </c>
      <c r="I19" s="66" t="s">
        <v>216</v>
      </c>
      <c r="J19" s="64" t="s">
        <v>95</v>
      </c>
      <c r="K19" s="66" t="s">
        <v>215</v>
      </c>
      <c r="L19" s="492">
        <v>40907</v>
      </c>
      <c r="M19" s="64" t="s">
        <v>10</v>
      </c>
      <c r="N19" s="284">
        <v>64</v>
      </c>
      <c r="O19" s="277">
        <v>7</v>
      </c>
      <c r="P19" s="497">
        <v>681274</v>
      </c>
      <c r="Q19" s="498">
        <v>60533</v>
      </c>
      <c r="R19" s="270">
        <f t="shared" si="0"/>
        <v>11.254588406323823</v>
      </c>
      <c r="S19" s="223">
        <v>40949</v>
      </c>
    </row>
    <row r="20" spans="1:19" ht="15.75">
      <c r="A20" s="349"/>
      <c r="B20" s="349"/>
      <c r="C20" s="349"/>
      <c r="D20" s="349"/>
      <c r="E20" s="349"/>
      <c r="F20" s="350"/>
      <c r="G20" s="350"/>
      <c r="H20" s="209" t="s">
        <v>196</v>
      </c>
      <c r="I20" s="61" t="s">
        <v>212</v>
      </c>
      <c r="J20" s="68" t="s">
        <v>124</v>
      </c>
      <c r="K20" s="68" t="s">
        <v>203</v>
      </c>
      <c r="L20" s="492">
        <v>40907</v>
      </c>
      <c r="M20" s="64" t="s">
        <v>12</v>
      </c>
      <c r="N20" s="263">
        <v>60</v>
      </c>
      <c r="O20" s="264">
        <v>7</v>
      </c>
      <c r="P20" s="268">
        <v>670831</v>
      </c>
      <c r="Q20" s="269">
        <v>67329</v>
      </c>
      <c r="R20" s="270">
        <f t="shared" si="0"/>
        <v>9.963477847584251</v>
      </c>
      <c r="S20" s="223">
        <v>40949</v>
      </c>
    </row>
    <row r="21" spans="1:19" ht="15.75">
      <c r="A21" s="349"/>
      <c r="B21" s="361" t="s">
        <v>223</v>
      </c>
      <c r="C21" s="356">
        <v>3</v>
      </c>
      <c r="D21" s="364">
        <v>2</v>
      </c>
      <c r="E21" s="360" t="s">
        <v>292</v>
      </c>
      <c r="F21" s="350"/>
      <c r="G21" s="363"/>
      <c r="H21" s="214" t="s">
        <v>690</v>
      </c>
      <c r="I21" s="65" t="s">
        <v>126</v>
      </c>
      <c r="J21" s="61" t="s">
        <v>89</v>
      </c>
      <c r="K21" s="66" t="s">
        <v>689</v>
      </c>
      <c r="L21" s="225">
        <v>41253</v>
      </c>
      <c r="M21" s="64" t="s">
        <v>68</v>
      </c>
      <c r="N21" s="263">
        <v>60</v>
      </c>
      <c r="O21" s="264">
        <v>2</v>
      </c>
      <c r="P21" s="276">
        <f>453045.5+152052.5</f>
        <v>605098</v>
      </c>
      <c r="Q21" s="278">
        <f>36464+11789</f>
        <v>48253</v>
      </c>
      <c r="R21" s="270">
        <f t="shared" si="0"/>
        <v>12.540111495658302</v>
      </c>
      <c r="S21" s="223">
        <v>40956</v>
      </c>
    </row>
    <row r="22" spans="1:19" ht="15.75">
      <c r="A22" s="349"/>
      <c r="B22" s="359"/>
      <c r="C22" s="359"/>
      <c r="D22" s="349"/>
      <c r="E22" s="359"/>
      <c r="F22" s="350"/>
      <c r="G22" s="353" t="s">
        <v>54</v>
      </c>
      <c r="H22" s="207" t="s">
        <v>337</v>
      </c>
      <c r="I22" s="66" t="s">
        <v>339</v>
      </c>
      <c r="J22" s="61"/>
      <c r="K22" s="66" t="s">
        <v>337</v>
      </c>
      <c r="L22" s="225">
        <v>40914</v>
      </c>
      <c r="M22" s="64" t="s">
        <v>53</v>
      </c>
      <c r="N22" s="280">
        <v>97</v>
      </c>
      <c r="O22" s="281">
        <v>7</v>
      </c>
      <c r="P22" s="282">
        <f>216520+198358.5+149589.5+18051.79+5443+2220+114</f>
        <v>590296.79</v>
      </c>
      <c r="Q22" s="283">
        <f>26831+25025+19383+2440+733+337+19</f>
        <v>74768</v>
      </c>
      <c r="R22" s="270">
        <f t="shared" si="0"/>
        <v>7.895045875240745</v>
      </c>
      <c r="S22" s="223">
        <v>40956</v>
      </c>
    </row>
    <row r="23" spans="1:19" ht="15.75">
      <c r="A23" s="349"/>
      <c r="B23" s="349"/>
      <c r="C23" s="349"/>
      <c r="D23" s="349"/>
      <c r="E23" s="349"/>
      <c r="F23" s="350"/>
      <c r="G23" s="350"/>
      <c r="H23" s="207" t="s">
        <v>427</v>
      </c>
      <c r="I23" s="61" t="s">
        <v>126</v>
      </c>
      <c r="J23" s="66" t="s">
        <v>89</v>
      </c>
      <c r="K23" s="66" t="s">
        <v>428</v>
      </c>
      <c r="L23" s="226">
        <v>40928</v>
      </c>
      <c r="M23" s="439" t="s">
        <v>68</v>
      </c>
      <c r="N23" s="272">
        <v>55</v>
      </c>
      <c r="O23" s="264">
        <v>5</v>
      </c>
      <c r="P23" s="276">
        <f>323645+173227.82+35597.95+32858.57+5134.32</f>
        <v>570463.6599999999</v>
      </c>
      <c r="Q23" s="278">
        <f>28467+15589+4018+4355+973</f>
        <v>53402</v>
      </c>
      <c r="R23" s="270">
        <f t="shared" si="0"/>
        <v>10.682439983521215</v>
      </c>
      <c r="S23" s="223">
        <v>40956</v>
      </c>
    </row>
    <row r="24" spans="1:19" ht="15.75">
      <c r="A24" s="349"/>
      <c r="B24" s="349"/>
      <c r="C24" s="349"/>
      <c r="D24" s="349"/>
      <c r="E24" s="349"/>
      <c r="F24" s="350"/>
      <c r="G24" s="350"/>
      <c r="H24" s="207" t="s">
        <v>341</v>
      </c>
      <c r="I24" s="61" t="s">
        <v>342</v>
      </c>
      <c r="J24" s="66" t="s">
        <v>189</v>
      </c>
      <c r="K24" s="66" t="s">
        <v>343</v>
      </c>
      <c r="L24" s="226">
        <v>40914</v>
      </c>
      <c r="M24" s="439" t="s">
        <v>8</v>
      </c>
      <c r="N24" s="272">
        <v>36</v>
      </c>
      <c r="O24" s="273">
        <v>7</v>
      </c>
      <c r="P24" s="276">
        <v>535924</v>
      </c>
      <c r="Q24" s="278">
        <v>46745</v>
      </c>
      <c r="R24" s="270">
        <f t="shared" si="0"/>
        <v>11.464841159482297</v>
      </c>
      <c r="S24" s="223">
        <v>40956</v>
      </c>
    </row>
    <row r="25" spans="1:19" ht="15.75">
      <c r="A25" s="349"/>
      <c r="B25" s="349"/>
      <c r="C25" s="349"/>
      <c r="D25" s="349"/>
      <c r="E25" s="349"/>
      <c r="F25" s="350"/>
      <c r="G25" s="350"/>
      <c r="H25" s="211" t="s">
        <v>563</v>
      </c>
      <c r="I25" s="63" t="s">
        <v>565</v>
      </c>
      <c r="J25" s="63" t="s">
        <v>248</v>
      </c>
      <c r="K25" s="63" t="s">
        <v>564</v>
      </c>
      <c r="L25" s="225">
        <v>40935</v>
      </c>
      <c r="M25" s="439" t="s">
        <v>68</v>
      </c>
      <c r="N25" s="502">
        <v>24</v>
      </c>
      <c r="O25" s="264">
        <v>4</v>
      </c>
      <c r="P25" s="276">
        <f>219512+172510+97324.5+20509.5</f>
        <v>509856</v>
      </c>
      <c r="Q25" s="278">
        <f>16452+13782+8143+1750</f>
        <v>40127</v>
      </c>
      <c r="R25" s="270">
        <f t="shared" si="0"/>
        <v>12.706058265008597</v>
      </c>
      <c r="S25" s="223">
        <v>40956</v>
      </c>
    </row>
    <row r="26" spans="1:19" ht="15.75">
      <c r="A26" s="349"/>
      <c r="B26" s="349"/>
      <c r="C26" s="349"/>
      <c r="D26" s="349"/>
      <c r="E26" s="349"/>
      <c r="F26" s="350"/>
      <c r="G26" s="350"/>
      <c r="H26" s="209" t="s">
        <v>632</v>
      </c>
      <c r="I26" s="61" t="s">
        <v>633</v>
      </c>
      <c r="J26" s="68" t="s">
        <v>94</v>
      </c>
      <c r="K26" s="68" t="s">
        <v>634</v>
      </c>
      <c r="L26" s="225">
        <v>40942</v>
      </c>
      <c r="M26" s="439" t="s">
        <v>12</v>
      </c>
      <c r="N26" s="502">
        <v>38</v>
      </c>
      <c r="O26" s="264">
        <v>3</v>
      </c>
      <c r="P26" s="268">
        <v>507955</v>
      </c>
      <c r="Q26" s="269">
        <v>43438</v>
      </c>
      <c r="R26" s="270">
        <f t="shared" si="0"/>
        <v>11.693793452737234</v>
      </c>
      <c r="S26" s="223">
        <v>40956</v>
      </c>
    </row>
    <row r="27" spans="1:19" ht="15.75">
      <c r="A27" s="369"/>
      <c r="B27" s="369"/>
      <c r="C27" s="369"/>
      <c r="D27" s="349"/>
      <c r="E27" s="369"/>
      <c r="F27" s="350"/>
      <c r="G27" s="351"/>
      <c r="H27" s="215" t="s">
        <v>393</v>
      </c>
      <c r="I27" s="61" t="s">
        <v>396</v>
      </c>
      <c r="J27" s="64" t="s">
        <v>394</v>
      </c>
      <c r="K27" s="64" t="s">
        <v>395</v>
      </c>
      <c r="L27" s="225">
        <v>40921</v>
      </c>
      <c r="M27" s="439" t="s">
        <v>370</v>
      </c>
      <c r="N27" s="502">
        <v>30</v>
      </c>
      <c r="O27" s="264">
        <v>6</v>
      </c>
      <c r="P27" s="478">
        <v>480409</v>
      </c>
      <c r="Q27" s="479">
        <v>36549</v>
      </c>
      <c r="R27" s="270">
        <f t="shared" si="0"/>
        <v>13.144244712577635</v>
      </c>
      <c r="S27" s="223">
        <v>40956</v>
      </c>
    </row>
    <row r="28" spans="1:19" ht="15.75">
      <c r="A28" s="349"/>
      <c r="B28" s="369"/>
      <c r="C28" s="369"/>
      <c r="D28" s="369"/>
      <c r="E28" s="369"/>
      <c r="F28" s="350"/>
      <c r="G28" s="363"/>
      <c r="H28" s="214" t="s">
        <v>671</v>
      </c>
      <c r="I28" s="65" t="s">
        <v>677</v>
      </c>
      <c r="J28" s="65" t="s">
        <v>128</v>
      </c>
      <c r="K28" s="66" t="s">
        <v>678</v>
      </c>
      <c r="L28" s="225">
        <v>40949</v>
      </c>
      <c r="M28" s="439" t="s">
        <v>68</v>
      </c>
      <c r="N28" s="502">
        <v>30</v>
      </c>
      <c r="O28" s="264">
        <v>2</v>
      </c>
      <c r="P28" s="276">
        <f>252789.19+123971.25</f>
        <v>376760.44</v>
      </c>
      <c r="Q28" s="278">
        <f>19304+9364</f>
        <v>28668</v>
      </c>
      <c r="R28" s="270">
        <f t="shared" si="0"/>
        <v>13.142194781638063</v>
      </c>
      <c r="S28" s="223">
        <v>40956</v>
      </c>
    </row>
    <row r="29" spans="1:19" ht="15.75">
      <c r="A29" s="349"/>
      <c r="B29" s="349"/>
      <c r="C29" s="349"/>
      <c r="D29" s="349"/>
      <c r="E29" s="349"/>
      <c r="F29" s="350"/>
      <c r="G29" s="353" t="s">
        <v>54</v>
      </c>
      <c r="H29" s="213" t="s">
        <v>660</v>
      </c>
      <c r="I29" s="61" t="s">
        <v>640</v>
      </c>
      <c r="J29" s="67" t="s">
        <v>138</v>
      </c>
      <c r="K29" s="65" t="s">
        <v>660</v>
      </c>
      <c r="L29" s="225">
        <v>40942</v>
      </c>
      <c r="M29" s="439" t="s">
        <v>53</v>
      </c>
      <c r="N29" s="504">
        <v>95</v>
      </c>
      <c r="O29" s="281">
        <v>3</v>
      </c>
      <c r="P29" s="282">
        <f>166893.1+124753.91+25288.04</f>
        <v>316935.05</v>
      </c>
      <c r="Q29" s="283">
        <f>18839+14893+3105</f>
        <v>36837</v>
      </c>
      <c r="R29" s="270">
        <f t="shared" si="0"/>
        <v>8.603715014794908</v>
      </c>
      <c r="S29" s="223">
        <v>40956</v>
      </c>
    </row>
    <row r="30" spans="1:19" ht="15.75">
      <c r="A30" s="349"/>
      <c r="B30" s="349"/>
      <c r="C30" s="349"/>
      <c r="D30" s="349"/>
      <c r="E30" s="349"/>
      <c r="F30" s="350"/>
      <c r="G30" s="350"/>
      <c r="H30" s="211" t="s">
        <v>224</v>
      </c>
      <c r="I30" s="61" t="s">
        <v>193</v>
      </c>
      <c r="J30" s="65" t="s">
        <v>128</v>
      </c>
      <c r="K30" s="63" t="s">
        <v>191</v>
      </c>
      <c r="L30" s="226">
        <v>40907</v>
      </c>
      <c r="M30" s="439" t="s">
        <v>68</v>
      </c>
      <c r="N30" s="502">
        <v>19</v>
      </c>
      <c r="O30" s="264">
        <v>8</v>
      </c>
      <c r="P30" s="276">
        <f>108631+115157+28332.5+21104.5+2954+17358.36+18153+140</f>
        <v>311830.36</v>
      </c>
      <c r="Q30" s="278">
        <f>8552+8628+2468+2132+301+2376+2114+19</f>
        <v>26590</v>
      </c>
      <c r="R30" s="270">
        <f t="shared" si="0"/>
        <v>11.727354644603233</v>
      </c>
      <c r="S30" s="223">
        <v>40956</v>
      </c>
    </row>
    <row r="31" spans="1:19" ht="15.75">
      <c r="A31" s="349"/>
      <c r="B31" s="369"/>
      <c r="C31" s="369"/>
      <c r="D31" s="349"/>
      <c r="E31" s="369"/>
      <c r="F31" s="350"/>
      <c r="G31" s="351"/>
      <c r="H31" s="215" t="s">
        <v>557</v>
      </c>
      <c r="I31" s="61" t="s">
        <v>558</v>
      </c>
      <c r="J31" s="64" t="s">
        <v>99</v>
      </c>
      <c r="K31" s="64" t="s">
        <v>556</v>
      </c>
      <c r="L31" s="225">
        <v>40935</v>
      </c>
      <c r="M31" s="439" t="s">
        <v>52</v>
      </c>
      <c r="N31" s="503">
        <v>57</v>
      </c>
      <c r="O31" s="264">
        <v>4</v>
      </c>
      <c r="P31" s="282">
        <f>141020.93+89437.99+36948.92+9243.92</f>
        <v>276651.75999999995</v>
      </c>
      <c r="Q31" s="283">
        <f>17593+11265+5202+1248</f>
        <v>35308</v>
      </c>
      <c r="R31" s="270">
        <f t="shared" si="0"/>
        <v>7.835384615384614</v>
      </c>
      <c r="S31" s="223">
        <v>40956</v>
      </c>
    </row>
    <row r="32" spans="1:19" ht="15.75">
      <c r="A32" s="349"/>
      <c r="B32" s="369"/>
      <c r="C32" s="369"/>
      <c r="D32" s="349"/>
      <c r="E32" s="369"/>
      <c r="F32" s="350"/>
      <c r="G32" s="351"/>
      <c r="H32" s="215" t="s">
        <v>666</v>
      </c>
      <c r="I32" s="64" t="s">
        <v>667</v>
      </c>
      <c r="J32" s="64" t="s">
        <v>394</v>
      </c>
      <c r="K32" s="64" t="s">
        <v>665</v>
      </c>
      <c r="L32" s="226">
        <v>40949</v>
      </c>
      <c r="M32" s="439" t="s">
        <v>370</v>
      </c>
      <c r="N32" s="502">
        <v>27</v>
      </c>
      <c r="O32" s="264">
        <v>2</v>
      </c>
      <c r="P32" s="478">
        <v>268575</v>
      </c>
      <c r="Q32" s="479">
        <v>21724</v>
      </c>
      <c r="R32" s="270">
        <f t="shared" si="0"/>
        <v>12.3630546860615</v>
      </c>
      <c r="S32" s="223">
        <v>40956</v>
      </c>
    </row>
    <row r="33" spans="1:19" ht="15.75">
      <c r="A33" s="369"/>
      <c r="B33" s="369"/>
      <c r="C33" s="369"/>
      <c r="D33" s="349"/>
      <c r="E33" s="369"/>
      <c r="F33" s="350"/>
      <c r="G33" s="353" t="s">
        <v>54</v>
      </c>
      <c r="H33" s="215" t="s">
        <v>631</v>
      </c>
      <c r="I33" s="61" t="s">
        <v>639</v>
      </c>
      <c r="J33" s="64"/>
      <c r="K33" s="64" t="s">
        <v>631</v>
      </c>
      <c r="L33" s="225">
        <v>40942</v>
      </c>
      <c r="M33" s="439" t="s">
        <v>52</v>
      </c>
      <c r="N33" s="502">
        <v>42</v>
      </c>
      <c r="O33" s="264">
        <v>3</v>
      </c>
      <c r="P33" s="282">
        <f>162020.35+70285.95+11139.41</f>
        <v>243445.71</v>
      </c>
      <c r="Q33" s="283">
        <f>16152+7535+1434</f>
        <v>25121</v>
      </c>
      <c r="R33" s="270">
        <f t="shared" si="0"/>
        <v>9.690924326260896</v>
      </c>
      <c r="S33" s="223">
        <v>40956</v>
      </c>
    </row>
    <row r="34" spans="1:19" ht="15.75">
      <c r="A34" s="349"/>
      <c r="B34" s="369"/>
      <c r="C34" s="369"/>
      <c r="D34" s="349"/>
      <c r="E34" s="369"/>
      <c r="F34" s="350"/>
      <c r="G34" s="351"/>
      <c r="H34" s="215" t="s">
        <v>629</v>
      </c>
      <c r="I34" s="61" t="s">
        <v>396</v>
      </c>
      <c r="J34" s="64" t="s">
        <v>248</v>
      </c>
      <c r="K34" s="64" t="s">
        <v>636</v>
      </c>
      <c r="L34" s="225">
        <v>40942</v>
      </c>
      <c r="M34" s="439" t="s">
        <v>332</v>
      </c>
      <c r="N34" s="502">
        <v>17</v>
      </c>
      <c r="O34" s="264">
        <v>3</v>
      </c>
      <c r="P34" s="266">
        <v>198799</v>
      </c>
      <c r="Q34" s="267">
        <v>15397</v>
      </c>
      <c r="R34" s="270">
        <f t="shared" si="0"/>
        <v>12.911541209326492</v>
      </c>
      <c r="S34" s="223">
        <v>40956</v>
      </c>
    </row>
    <row r="35" spans="1:19" ht="15.75">
      <c r="A35" s="349"/>
      <c r="B35" s="369"/>
      <c r="C35" s="369"/>
      <c r="D35" s="349"/>
      <c r="E35" s="369"/>
      <c r="F35" s="350"/>
      <c r="G35" s="351"/>
      <c r="H35" s="215" t="s">
        <v>668</v>
      </c>
      <c r="I35" s="61" t="s">
        <v>669</v>
      </c>
      <c r="J35" s="64" t="s">
        <v>99</v>
      </c>
      <c r="K35" s="64" t="s">
        <v>670</v>
      </c>
      <c r="L35" s="225">
        <v>40949</v>
      </c>
      <c r="M35" s="439" t="s">
        <v>52</v>
      </c>
      <c r="N35" s="502">
        <v>26</v>
      </c>
      <c r="O35" s="264">
        <v>2</v>
      </c>
      <c r="P35" s="282">
        <f>122578.91+41944.68</f>
        <v>164523.59</v>
      </c>
      <c r="Q35" s="283">
        <f>12461+4347</f>
        <v>16808</v>
      </c>
      <c r="R35" s="270">
        <f t="shared" si="0"/>
        <v>9.788409685863874</v>
      </c>
      <c r="S35" s="223">
        <v>40956</v>
      </c>
    </row>
    <row r="36" spans="1:19" ht="15.75">
      <c r="A36" s="349"/>
      <c r="B36" s="369"/>
      <c r="C36" s="369"/>
      <c r="D36" s="349"/>
      <c r="E36" s="369"/>
      <c r="F36" s="350"/>
      <c r="G36" s="351"/>
      <c r="H36" s="215" t="s">
        <v>374</v>
      </c>
      <c r="I36" s="61" t="s">
        <v>376</v>
      </c>
      <c r="J36" s="64" t="s">
        <v>260</v>
      </c>
      <c r="K36" s="64" t="s">
        <v>375</v>
      </c>
      <c r="L36" s="492">
        <v>40921</v>
      </c>
      <c r="M36" s="439" t="s">
        <v>332</v>
      </c>
      <c r="N36" s="502">
        <v>16</v>
      </c>
      <c r="O36" s="264">
        <v>5</v>
      </c>
      <c r="P36" s="268">
        <v>145385</v>
      </c>
      <c r="Q36" s="269">
        <v>12817</v>
      </c>
      <c r="R36" s="270">
        <f t="shared" si="0"/>
        <v>11.34313801981743</v>
      </c>
      <c r="S36" s="223">
        <v>40949</v>
      </c>
    </row>
    <row r="37" spans="1:19" ht="15.75">
      <c r="A37" s="349"/>
      <c r="B37" s="361" t="s">
        <v>223</v>
      </c>
      <c r="C37" s="356">
        <v>3</v>
      </c>
      <c r="D37" s="349"/>
      <c r="E37" s="349"/>
      <c r="F37" s="354" t="s">
        <v>55</v>
      </c>
      <c r="G37" s="363"/>
      <c r="H37" s="214" t="s">
        <v>219</v>
      </c>
      <c r="I37" s="65" t="s">
        <v>183</v>
      </c>
      <c r="J37" s="61" t="s">
        <v>189</v>
      </c>
      <c r="K37" s="66" t="s">
        <v>181</v>
      </c>
      <c r="L37" s="225">
        <v>40907</v>
      </c>
      <c r="M37" s="439" t="s">
        <v>8</v>
      </c>
      <c r="N37" s="723">
        <v>73</v>
      </c>
      <c r="O37" s="387">
        <v>9</v>
      </c>
      <c r="P37" s="394">
        <v>141554</v>
      </c>
      <c r="Q37" s="395">
        <v>12703</v>
      </c>
      <c r="R37" s="219">
        <f t="shared" si="0"/>
        <v>11.143351964102967</v>
      </c>
      <c r="S37" s="397">
        <v>40928</v>
      </c>
    </row>
    <row r="38" spans="1:19" ht="15.75">
      <c r="A38" s="349"/>
      <c r="B38" s="349"/>
      <c r="C38" s="349"/>
      <c r="D38" s="477"/>
      <c r="E38" s="349"/>
      <c r="F38" s="350"/>
      <c r="G38" s="350"/>
      <c r="H38" s="211" t="s">
        <v>673</v>
      </c>
      <c r="I38" s="61" t="s">
        <v>217</v>
      </c>
      <c r="J38" s="68" t="s">
        <v>94</v>
      </c>
      <c r="K38" s="63" t="s">
        <v>675</v>
      </c>
      <c r="L38" s="225">
        <v>40949</v>
      </c>
      <c r="M38" s="439" t="s">
        <v>12</v>
      </c>
      <c r="N38" s="502">
        <v>15</v>
      </c>
      <c r="O38" s="264">
        <v>2</v>
      </c>
      <c r="P38" s="268">
        <v>66811</v>
      </c>
      <c r="Q38" s="269">
        <v>5690</v>
      </c>
      <c r="R38" s="270">
        <f t="shared" si="0"/>
        <v>11.74182776801406</v>
      </c>
      <c r="S38" s="223">
        <v>40956</v>
      </c>
    </row>
    <row r="39" spans="1:19" ht="15.75">
      <c r="A39" s="349"/>
      <c r="B39" s="369"/>
      <c r="C39" s="369"/>
      <c r="D39" s="349"/>
      <c r="E39" s="369"/>
      <c r="F39" s="350"/>
      <c r="G39" s="351"/>
      <c r="H39" s="215" t="s">
        <v>630</v>
      </c>
      <c r="I39" s="61" t="s">
        <v>637</v>
      </c>
      <c r="J39" s="64" t="s">
        <v>273</v>
      </c>
      <c r="K39" s="64" t="s">
        <v>638</v>
      </c>
      <c r="L39" s="492">
        <v>40942</v>
      </c>
      <c r="M39" s="439" t="s">
        <v>332</v>
      </c>
      <c r="N39" s="502">
        <v>5</v>
      </c>
      <c r="O39" s="264">
        <v>2</v>
      </c>
      <c r="P39" s="268">
        <v>36627.5</v>
      </c>
      <c r="Q39" s="269">
        <v>2639</v>
      </c>
      <c r="R39" s="270">
        <f t="shared" si="0"/>
        <v>13.879310344827585</v>
      </c>
      <c r="S39" s="223">
        <v>40949</v>
      </c>
    </row>
    <row r="40" spans="1:19" ht="15.75">
      <c r="A40" s="349"/>
      <c r="B40" s="349"/>
      <c r="C40" s="349"/>
      <c r="D40" s="349"/>
      <c r="E40" s="349"/>
      <c r="F40" s="350"/>
      <c r="G40" s="350"/>
      <c r="H40" s="215" t="s">
        <v>158</v>
      </c>
      <c r="I40" s="64" t="s">
        <v>162</v>
      </c>
      <c r="J40" s="64" t="s">
        <v>79</v>
      </c>
      <c r="K40" s="64" t="s">
        <v>161</v>
      </c>
      <c r="L40" s="226">
        <v>40907</v>
      </c>
      <c r="M40" s="439" t="s">
        <v>13</v>
      </c>
      <c r="N40" s="502">
        <v>1</v>
      </c>
      <c r="O40" s="264">
        <v>4</v>
      </c>
      <c r="P40" s="266">
        <v>6925</v>
      </c>
      <c r="Q40" s="267">
        <v>705</v>
      </c>
      <c r="R40" s="270">
        <f t="shared" si="0"/>
        <v>9.822695035460994</v>
      </c>
      <c r="S40" s="223">
        <v>40956</v>
      </c>
    </row>
    <row r="41" spans="1:19" ht="15.75">
      <c r="A41" s="206"/>
      <c r="B41" s="206"/>
      <c r="C41" s="206"/>
      <c r="D41" s="206"/>
      <c r="E41" s="206"/>
      <c r="F41" s="212" t="s">
        <v>55</v>
      </c>
      <c r="G41" s="208"/>
      <c r="H41" s="215" t="s">
        <v>157</v>
      </c>
      <c r="I41" s="64" t="s">
        <v>163</v>
      </c>
      <c r="J41" s="64" t="s">
        <v>128</v>
      </c>
      <c r="K41" s="64" t="s">
        <v>160</v>
      </c>
      <c r="L41" s="225">
        <v>40907</v>
      </c>
      <c r="M41" s="439" t="s">
        <v>13</v>
      </c>
      <c r="N41" s="725">
        <v>2</v>
      </c>
      <c r="O41" s="220">
        <v>2</v>
      </c>
      <c r="P41" s="218">
        <v>2965</v>
      </c>
      <c r="Q41" s="222">
        <v>448</v>
      </c>
      <c r="R41" s="219">
        <f t="shared" si="0"/>
        <v>6.618303571428571</v>
      </c>
      <c r="S41" s="223">
        <v>40914</v>
      </c>
    </row>
  </sheetData>
  <sheetProtection/>
  <mergeCells count="2">
    <mergeCell ref="A1:S1"/>
    <mergeCell ref="A3:G3"/>
  </mergeCells>
  <printOptions/>
  <pageMargins left="0.7" right="0.7" top="0.75" bottom="0.75" header="0.3" footer="0.3"/>
  <pageSetup orientation="portrait" paperSize="9"/>
  <ignoredErrors>
    <ignoredError sqref="P4:Q33" unlockedFormula="1"/>
  </ignoredErrors>
</worksheet>
</file>

<file path=xl/worksheets/sheet6.xml><?xml version="1.0" encoding="utf-8"?>
<worksheet xmlns="http://schemas.openxmlformats.org/spreadsheetml/2006/main" xmlns:r="http://schemas.openxmlformats.org/officeDocument/2006/relationships">
  <dimension ref="A1:M44"/>
  <sheetViews>
    <sheetView zoomScalePageLayoutView="0" workbookViewId="0" topLeftCell="A13">
      <selection activeCell="A36" sqref="A36"/>
    </sheetView>
  </sheetViews>
  <sheetFormatPr defaultColWidth="9.140625" defaultRowHeight="12.75"/>
  <cols>
    <col min="1" max="1" width="7.00390625" style="108" bestFit="1" customWidth="1"/>
    <col min="2" max="2" width="11.28125" style="109" bestFit="1" customWidth="1"/>
    <col min="3" max="3" width="15.421875" style="110" bestFit="1" customWidth="1"/>
    <col min="4" max="4" width="19.421875" style="111" bestFit="1" customWidth="1"/>
    <col min="5" max="6" width="14.28125" style="112" bestFit="1" customWidth="1"/>
    <col min="7" max="7" width="18.421875" style="111" customWidth="1"/>
    <col min="8" max="8" width="18.421875" style="112" bestFit="1" customWidth="1"/>
    <col min="9" max="9" width="15.7109375" style="108" bestFit="1" customWidth="1"/>
    <col min="10" max="10" width="34.421875" style="107" bestFit="1" customWidth="1"/>
    <col min="11" max="11" width="12.7109375" style="112" bestFit="1" customWidth="1"/>
    <col min="12" max="16384" width="9.140625" style="108" customWidth="1"/>
  </cols>
  <sheetData>
    <row r="1" spans="1:13" ht="18.75">
      <c r="A1" s="951" t="s">
        <v>326</v>
      </c>
      <c r="B1" s="952"/>
      <c r="C1" s="952"/>
      <c r="D1" s="952"/>
      <c r="E1" s="952"/>
      <c r="F1" s="952"/>
      <c r="G1" s="952"/>
      <c r="H1" s="952"/>
      <c r="I1" s="952"/>
      <c r="J1" s="952"/>
      <c r="K1" s="952"/>
      <c r="L1" s="945" t="s">
        <v>623</v>
      </c>
      <c r="M1" s="946"/>
    </row>
    <row r="2" spans="1:13" s="107" customFormat="1" ht="18.75">
      <c r="A2" s="113"/>
      <c r="B2" s="114"/>
      <c r="C2" s="115" t="s">
        <v>311</v>
      </c>
      <c r="D2" s="116"/>
      <c r="E2" s="117" t="s">
        <v>314</v>
      </c>
      <c r="F2" s="113" t="s">
        <v>314</v>
      </c>
      <c r="G2" s="116" t="s">
        <v>318</v>
      </c>
      <c r="H2" s="116" t="s">
        <v>318</v>
      </c>
      <c r="I2" s="113" t="s">
        <v>319</v>
      </c>
      <c r="J2" s="113" t="s">
        <v>322</v>
      </c>
      <c r="K2" s="117" t="s">
        <v>316</v>
      </c>
      <c r="L2" s="946"/>
      <c r="M2" s="946"/>
    </row>
    <row r="3" spans="1:13" s="107" customFormat="1" ht="18.75">
      <c r="A3" s="113"/>
      <c r="B3" s="114"/>
      <c r="C3" s="115" t="s">
        <v>312</v>
      </c>
      <c r="D3" s="116" t="s">
        <v>314</v>
      </c>
      <c r="E3" s="117" t="s">
        <v>316</v>
      </c>
      <c r="F3" s="113" t="s">
        <v>328</v>
      </c>
      <c r="G3" s="116" t="s">
        <v>314</v>
      </c>
      <c r="H3" s="116" t="s">
        <v>314</v>
      </c>
      <c r="I3" s="113" t="s">
        <v>320</v>
      </c>
      <c r="J3" s="113" t="s">
        <v>323</v>
      </c>
      <c r="K3" s="117" t="s">
        <v>325</v>
      </c>
      <c r="L3" s="946"/>
      <c r="M3" s="946"/>
    </row>
    <row r="4" spans="1:13" s="107" customFormat="1" ht="19.5" customHeight="1" thickBot="1">
      <c r="A4" s="124" t="s">
        <v>309</v>
      </c>
      <c r="B4" s="125" t="s">
        <v>310</v>
      </c>
      <c r="C4" s="126" t="s">
        <v>313</v>
      </c>
      <c r="D4" s="127" t="s">
        <v>315</v>
      </c>
      <c r="E4" s="128" t="s">
        <v>317</v>
      </c>
      <c r="F4" s="124" t="s">
        <v>327</v>
      </c>
      <c r="G4" s="127" t="s">
        <v>315</v>
      </c>
      <c r="H4" s="127" t="s">
        <v>316</v>
      </c>
      <c r="I4" s="124" t="s">
        <v>321</v>
      </c>
      <c r="J4" s="124" t="s">
        <v>324</v>
      </c>
      <c r="K4" s="128" t="s">
        <v>313</v>
      </c>
      <c r="L4" s="946"/>
      <c r="M4" s="946"/>
    </row>
    <row r="5" spans="1:13" ht="18.75">
      <c r="A5" s="118">
        <v>2012</v>
      </c>
      <c r="B5" s="119">
        <v>40907</v>
      </c>
      <c r="C5" s="120">
        <v>74</v>
      </c>
      <c r="D5" s="121">
        <v>8200954.5</v>
      </c>
      <c r="E5" s="135">
        <v>908539</v>
      </c>
      <c r="F5" s="953">
        <f>IF(E6&lt;&gt;0,-(E6-E5)/E6,"")</f>
        <v>0.432929627801269</v>
      </c>
      <c r="G5" s="137">
        <v>4378379</v>
      </c>
      <c r="H5" s="122">
        <v>513723</v>
      </c>
      <c r="I5" s="123">
        <v>0.57</v>
      </c>
      <c r="J5" s="404" t="s">
        <v>141</v>
      </c>
      <c r="K5" s="122">
        <v>273690</v>
      </c>
      <c r="L5" s="946"/>
      <c r="M5" s="946"/>
    </row>
    <row r="6" spans="1:13" ht="19.5" thickBot="1">
      <c r="A6" s="129">
        <v>2011</v>
      </c>
      <c r="B6" s="130">
        <v>40543</v>
      </c>
      <c r="C6" s="131" t="s">
        <v>307</v>
      </c>
      <c r="D6" s="132">
        <v>6313693</v>
      </c>
      <c r="E6" s="136">
        <v>634043</v>
      </c>
      <c r="F6" s="954"/>
      <c r="G6" s="138">
        <v>2910042.5</v>
      </c>
      <c r="H6" s="133">
        <v>321979</v>
      </c>
      <c r="I6" s="134">
        <v>0.51</v>
      </c>
      <c r="J6" s="405" t="s">
        <v>308</v>
      </c>
      <c r="K6" s="133">
        <v>182375</v>
      </c>
      <c r="L6" s="946"/>
      <c r="M6" s="946"/>
    </row>
    <row r="7" spans="12:13" ht="19.5" thickBot="1">
      <c r="L7" s="946"/>
      <c r="M7" s="946"/>
    </row>
    <row r="8" spans="1:13" ht="18.75">
      <c r="A8" s="249">
        <v>2012</v>
      </c>
      <c r="B8" s="250">
        <v>40914</v>
      </c>
      <c r="C8" s="251" t="s">
        <v>371</v>
      </c>
      <c r="D8" s="252">
        <v>8481996</v>
      </c>
      <c r="E8" s="253">
        <v>884882</v>
      </c>
      <c r="F8" s="943">
        <f>IF(E9&lt;&gt;0,-(E9-E8)/E9,"")</f>
        <v>-0.5217898361655077</v>
      </c>
      <c r="G8" s="252">
        <v>4475888.5</v>
      </c>
      <c r="H8" s="253">
        <v>500419</v>
      </c>
      <c r="I8" s="254">
        <v>0.57</v>
      </c>
      <c r="J8" s="406" t="s">
        <v>141</v>
      </c>
      <c r="K8" s="253">
        <v>198737</v>
      </c>
      <c r="L8" s="946"/>
      <c r="M8" s="946"/>
    </row>
    <row r="9" spans="1:13" ht="19.5" thickBot="1">
      <c r="A9" s="129">
        <v>2011</v>
      </c>
      <c r="B9" s="130">
        <v>40550</v>
      </c>
      <c r="C9" s="131" t="s">
        <v>372</v>
      </c>
      <c r="D9" s="132">
        <v>17210409</v>
      </c>
      <c r="E9" s="133">
        <v>1850404</v>
      </c>
      <c r="F9" s="944"/>
      <c r="G9" s="132">
        <v>15725804</v>
      </c>
      <c r="H9" s="133">
        <v>1715171</v>
      </c>
      <c r="I9" s="134">
        <v>0.93</v>
      </c>
      <c r="J9" s="405" t="s">
        <v>373</v>
      </c>
      <c r="K9" s="133">
        <v>1226038</v>
      </c>
      <c r="L9" s="946"/>
      <c r="M9" s="946"/>
    </row>
    <row r="10" spans="12:13" ht="19.5" thickBot="1">
      <c r="L10" s="946"/>
      <c r="M10" s="946"/>
    </row>
    <row r="11" spans="1:13" ht="18.75">
      <c r="A11" s="249">
        <v>2012</v>
      </c>
      <c r="B11" s="250">
        <v>40921</v>
      </c>
      <c r="C11" s="251" t="s">
        <v>407</v>
      </c>
      <c r="D11" s="252">
        <v>9952732.5</v>
      </c>
      <c r="E11" s="253">
        <v>1038272</v>
      </c>
      <c r="F11" s="943">
        <f>IF(E12&lt;&gt;0,-(E12-E11)/E12,"")</f>
        <v>-0.29546535622267506</v>
      </c>
      <c r="G11" s="252">
        <v>4132151</v>
      </c>
      <c r="H11" s="253">
        <v>469150</v>
      </c>
      <c r="I11" s="254">
        <v>0.45</v>
      </c>
      <c r="J11" s="255" t="s">
        <v>384</v>
      </c>
      <c r="K11" s="253">
        <v>209171</v>
      </c>
      <c r="L11" s="946"/>
      <c r="M11" s="946"/>
    </row>
    <row r="12" spans="1:13" ht="19.5" thickBot="1">
      <c r="A12" s="129">
        <v>2011</v>
      </c>
      <c r="B12" s="130">
        <v>40557</v>
      </c>
      <c r="C12" s="131" t="s">
        <v>408</v>
      </c>
      <c r="D12" s="132">
        <v>13786400.25</v>
      </c>
      <c r="E12" s="133">
        <v>1473699</v>
      </c>
      <c r="F12" s="944"/>
      <c r="G12" s="132">
        <v>11172188</v>
      </c>
      <c r="H12" s="133">
        <v>1237966</v>
      </c>
      <c r="I12" s="134">
        <v>0.84</v>
      </c>
      <c r="J12" s="405" t="s">
        <v>373</v>
      </c>
      <c r="K12" s="133">
        <v>894074</v>
      </c>
      <c r="L12" s="946"/>
      <c r="M12" s="946"/>
    </row>
    <row r="13" spans="11:13" ht="19.5" thickBot="1">
      <c r="K13" s="108"/>
      <c r="L13" s="946"/>
      <c r="M13" s="946"/>
    </row>
    <row r="14" spans="1:13" ht="18.75">
      <c r="A14" s="249">
        <v>2012</v>
      </c>
      <c r="B14" s="250">
        <v>40928</v>
      </c>
      <c r="C14" s="251" t="s">
        <v>371</v>
      </c>
      <c r="D14" s="252">
        <v>12103565.9</v>
      </c>
      <c r="E14" s="253">
        <v>1241592</v>
      </c>
      <c r="F14" s="943">
        <f>IF(E15&lt;&gt;0,-(E15-E14)/E15,"")</f>
        <v>-0.004775760490561501</v>
      </c>
      <c r="G14" s="252">
        <v>3616319.9</v>
      </c>
      <c r="H14" s="253">
        <v>404883</v>
      </c>
      <c r="I14" s="254">
        <v>0.33</v>
      </c>
      <c r="J14" s="255" t="s">
        <v>384</v>
      </c>
      <c r="K14" s="253">
        <v>237346</v>
      </c>
      <c r="L14" s="946"/>
      <c r="M14" s="946"/>
    </row>
    <row r="15" spans="1:13" ht="19.5" thickBot="1">
      <c r="A15" s="129">
        <v>2011</v>
      </c>
      <c r="B15" s="130">
        <v>40564</v>
      </c>
      <c r="C15" s="131" t="s">
        <v>407</v>
      </c>
      <c r="D15" s="132">
        <v>11370167.75</v>
      </c>
      <c r="E15" s="133">
        <v>1247550</v>
      </c>
      <c r="F15" s="944"/>
      <c r="G15" s="132">
        <v>8403050.5</v>
      </c>
      <c r="H15" s="133">
        <v>969380</v>
      </c>
      <c r="I15" s="134">
        <v>0.78</v>
      </c>
      <c r="J15" s="405" t="s">
        <v>373</v>
      </c>
      <c r="K15" s="133">
        <v>605415</v>
      </c>
      <c r="L15" s="946"/>
      <c r="M15" s="946"/>
    </row>
    <row r="16" spans="11:13" ht="19.5" thickBot="1">
      <c r="K16" s="108"/>
      <c r="L16" s="946"/>
      <c r="M16" s="946"/>
    </row>
    <row r="17" spans="1:13" ht="18.75">
      <c r="A17" s="249">
        <v>2012</v>
      </c>
      <c r="B17" s="250">
        <v>40935</v>
      </c>
      <c r="C17" s="251" t="s">
        <v>518</v>
      </c>
      <c r="D17" s="252">
        <v>14925131.45</v>
      </c>
      <c r="E17" s="253">
        <v>1547490</v>
      </c>
      <c r="F17" s="943">
        <f>IF(E18&lt;&gt;0,-(E18-E17)/E18,"")</f>
        <v>-0.22639463576824384</v>
      </c>
      <c r="G17" s="252">
        <v>10003235.8</v>
      </c>
      <c r="H17" s="253">
        <v>1068642</v>
      </c>
      <c r="I17" s="254">
        <v>0.69</v>
      </c>
      <c r="J17" s="406" t="s">
        <v>566</v>
      </c>
      <c r="K17" s="253">
        <v>889193</v>
      </c>
      <c r="L17" s="946"/>
      <c r="M17" s="946"/>
    </row>
    <row r="18" spans="1:13" ht="19.5" thickBot="1">
      <c r="A18" s="129">
        <v>2011</v>
      </c>
      <c r="B18" s="130">
        <v>40571</v>
      </c>
      <c r="C18" s="131" t="s">
        <v>516</v>
      </c>
      <c r="D18" s="132">
        <v>18269978.5</v>
      </c>
      <c r="E18" s="133">
        <v>2000361</v>
      </c>
      <c r="F18" s="944"/>
      <c r="G18" s="132">
        <v>14251249.5</v>
      </c>
      <c r="H18" s="133">
        <v>1637665</v>
      </c>
      <c r="I18" s="134">
        <v>0.82</v>
      </c>
      <c r="J18" s="405" t="s">
        <v>627</v>
      </c>
      <c r="K18" s="133">
        <v>1060415</v>
      </c>
      <c r="L18" s="946"/>
      <c r="M18" s="946"/>
    </row>
    <row r="19" spans="1:13" ht="19.5" thickBot="1">
      <c r="A19" s="423"/>
      <c r="B19" s="424"/>
      <c r="C19" s="425"/>
      <c r="D19" s="426"/>
      <c r="E19" s="427"/>
      <c r="F19" s="427"/>
      <c r="G19" s="426"/>
      <c r="H19" s="427"/>
      <c r="I19" s="423"/>
      <c r="J19" s="428"/>
      <c r="K19" s="427"/>
      <c r="L19" s="946"/>
      <c r="M19" s="946"/>
    </row>
    <row r="20" spans="1:13" ht="18.75">
      <c r="A20" s="430">
        <v>2012</v>
      </c>
      <c r="B20" s="431" t="s">
        <v>623</v>
      </c>
      <c r="C20" s="432">
        <f aca="true" t="shared" si="0" ref="C20:E21">C5+C8+C11+C14+C17</f>
        <v>324</v>
      </c>
      <c r="D20" s="433">
        <f t="shared" si="0"/>
        <v>53664380.349999994</v>
      </c>
      <c r="E20" s="434">
        <f t="shared" si="0"/>
        <v>5620775</v>
      </c>
      <c r="F20" s="943">
        <f>IF(E21&lt;&gt;0,-(E21-E20)/E21,"")</f>
        <v>-0.2199929864556997</v>
      </c>
      <c r="G20" s="433">
        <f>G5+G8+G11+G14+G17</f>
        <v>26605974.200000003</v>
      </c>
      <c r="H20" s="434">
        <f>H5+H8+H11+H14</f>
        <v>1888175</v>
      </c>
      <c r="I20" s="430"/>
      <c r="J20" s="435"/>
      <c r="K20" s="434"/>
      <c r="L20" s="946"/>
      <c r="M20" s="946"/>
    </row>
    <row r="21" spans="1:13" ht="19.5" thickBot="1">
      <c r="A21" s="398">
        <v>2011</v>
      </c>
      <c r="B21" s="399" t="s">
        <v>623</v>
      </c>
      <c r="C21" s="400">
        <f t="shared" si="0"/>
        <v>270</v>
      </c>
      <c r="D21" s="401">
        <f t="shared" si="0"/>
        <v>66950648.5</v>
      </c>
      <c r="E21" s="402">
        <f t="shared" si="0"/>
        <v>7206057</v>
      </c>
      <c r="F21" s="944"/>
      <c r="G21" s="401">
        <f>G6+G9+G12+G15</f>
        <v>38211085</v>
      </c>
      <c r="H21" s="402">
        <f>H6+H9+H12+H15</f>
        <v>4244496</v>
      </c>
      <c r="I21" s="398"/>
      <c r="J21" s="403"/>
      <c r="K21" s="402"/>
      <c r="L21" s="946"/>
      <c r="M21" s="946"/>
    </row>
    <row r="22" spans="1:13" ht="18.75">
      <c r="A22" s="423"/>
      <c r="B22" s="424"/>
      <c r="C22" s="429"/>
      <c r="D22" s="426"/>
      <c r="E22" s="427"/>
      <c r="F22" s="427"/>
      <c r="G22" s="426"/>
      <c r="H22" s="427"/>
      <c r="I22" s="423"/>
      <c r="J22" s="428"/>
      <c r="K22" s="427"/>
      <c r="L22" s="946"/>
      <c r="M22" s="946"/>
    </row>
    <row r="23" spans="1:13" ht="18.75" customHeight="1">
      <c r="A23" s="951" t="s">
        <v>326</v>
      </c>
      <c r="B23" s="952"/>
      <c r="C23" s="952"/>
      <c r="D23" s="952"/>
      <c r="E23" s="952"/>
      <c r="F23" s="952"/>
      <c r="G23" s="952"/>
      <c r="H23" s="952"/>
      <c r="I23" s="952"/>
      <c r="J23" s="952"/>
      <c r="K23" s="952"/>
      <c r="L23" s="947" t="s">
        <v>691</v>
      </c>
      <c r="M23" s="948"/>
    </row>
    <row r="24" spans="1:13" s="107" customFormat="1" ht="18.75">
      <c r="A24" s="467"/>
      <c r="B24" s="468"/>
      <c r="C24" s="469" t="s">
        <v>311</v>
      </c>
      <c r="D24" s="470"/>
      <c r="E24" s="471" t="s">
        <v>314</v>
      </c>
      <c r="F24" s="467" t="s">
        <v>314</v>
      </c>
      <c r="G24" s="470" t="s">
        <v>318</v>
      </c>
      <c r="H24" s="470" t="s">
        <v>318</v>
      </c>
      <c r="I24" s="467" t="s">
        <v>319</v>
      </c>
      <c r="J24" s="467" t="s">
        <v>322</v>
      </c>
      <c r="K24" s="471" t="s">
        <v>316</v>
      </c>
      <c r="L24" s="948"/>
      <c r="M24" s="948"/>
    </row>
    <row r="25" spans="1:13" s="107" customFormat="1" ht="18.75">
      <c r="A25" s="467"/>
      <c r="B25" s="468"/>
      <c r="C25" s="469" t="s">
        <v>312</v>
      </c>
      <c r="D25" s="470" t="s">
        <v>314</v>
      </c>
      <c r="E25" s="471" t="s">
        <v>316</v>
      </c>
      <c r="F25" s="467" t="s">
        <v>328</v>
      </c>
      <c r="G25" s="470" t="s">
        <v>314</v>
      </c>
      <c r="H25" s="470" t="s">
        <v>314</v>
      </c>
      <c r="I25" s="467" t="s">
        <v>320</v>
      </c>
      <c r="J25" s="467" t="s">
        <v>323</v>
      </c>
      <c r="K25" s="471" t="s">
        <v>325</v>
      </c>
      <c r="L25" s="948"/>
      <c r="M25" s="948"/>
    </row>
    <row r="26" spans="1:13" s="107" customFormat="1" ht="19.5" customHeight="1" thickBot="1">
      <c r="A26" s="472" t="s">
        <v>309</v>
      </c>
      <c r="B26" s="473" t="s">
        <v>310</v>
      </c>
      <c r="C26" s="474" t="s">
        <v>313</v>
      </c>
      <c r="D26" s="475" t="s">
        <v>315</v>
      </c>
      <c r="E26" s="476" t="s">
        <v>317</v>
      </c>
      <c r="F26" s="472" t="s">
        <v>327</v>
      </c>
      <c r="G26" s="475" t="s">
        <v>315</v>
      </c>
      <c r="H26" s="475" t="s">
        <v>316</v>
      </c>
      <c r="I26" s="472" t="s">
        <v>321</v>
      </c>
      <c r="J26" s="472" t="s">
        <v>324</v>
      </c>
      <c r="K26" s="476" t="s">
        <v>313</v>
      </c>
      <c r="L26" s="948"/>
      <c r="M26" s="948"/>
    </row>
    <row r="27" spans="1:13" ht="18.75">
      <c r="A27" s="118">
        <v>2012</v>
      </c>
      <c r="B27" s="119">
        <v>40942</v>
      </c>
      <c r="C27" s="120" t="s">
        <v>408</v>
      </c>
      <c r="D27" s="121">
        <v>10223755.13</v>
      </c>
      <c r="E27" s="135">
        <v>1050884</v>
      </c>
      <c r="F27" s="949">
        <f>IF(E28&lt;&gt;0,-(E28-E27)/E28,"")</f>
        <v>-0.4292492359731071</v>
      </c>
      <c r="G27" s="137">
        <v>6067403.45</v>
      </c>
      <c r="H27" s="122">
        <v>661957</v>
      </c>
      <c r="I27" s="123">
        <v>0.63</v>
      </c>
      <c r="J27" s="406" t="s">
        <v>566</v>
      </c>
      <c r="K27" s="122">
        <v>519684</v>
      </c>
      <c r="L27" s="948"/>
      <c r="M27" s="948"/>
    </row>
    <row r="28" spans="1:13" ht="19.5" thickBot="1">
      <c r="A28" s="129">
        <v>2011</v>
      </c>
      <c r="B28" s="130">
        <v>40578</v>
      </c>
      <c r="C28" s="131" t="s">
        <v>507</v>
      </c>
      <c r="D28" s="132">
        <v>17381185.25</v>
      </c>
      <c r="E28" s="136">
        <v>1841231</v>
      </c>
      <c r="F28" s="950"/>
      <c r="G28" s="138">
        <v>13409573.25</v>
      </c>
      <c r="H28" s="133">
        <v>1486911</v>
      </c>
      <c r="I28" s="134">
        <v>0.81</v>
      </c>
      <c r="J28" s="405" t="s">
        <v>664</v>
      </c>
      <c r="K28" s="133">
        <v>621467</v>
      </c>
      <c r="L28" s="948"/>
      <c r="M28" s="948"/>
    </row>
    <row r="29" spans="12:13" ht="19.5" thickBot="1">
      <c r="L29" s="948"/>
      <c r="M29" s="948"/>
    </row>
    <row r="30" spans="1:13" ht="18.75">
      <c r="A30" s="249">
        <v>2012</v>
      </c>
      <c r="B30" s="250">
        <v>40918</v>
      </c>
      <c r="C30" s="251" t="s">
        <v>577</v>
      </c>
      <c r="D30" s="252">
        <v>7622079.26</v>
      </c>
      <c r="E30" s="253">
        <v>781077</v>
      </c>
      <c r="F30" s="943">
        <f>IF(E31&lt;&gt;0,-(E31-E30)/E31,"")</f>
        <v>-0.4228894502621863</v>
      </c>
      <c r="G30" s="252">
        <v>3333135.86</v>
      </c>
      <c r="H30" s="253">
        <v>377941</v>
      </c>
      <c r="I30" s="254">
        <v>0.48</v>
      </c>
      <c r="J30" s="406" t="s">
        <v>566</v>
      </c>
      <c r="K30" s="253">
        <v>281880</v>
      </c>
      <c r="L30" s="948"/>
      <c r="M30" s="948"/>
    </row>
    <row r="31" spans="1:13" ht="19.5" thickBot="1">
      <c r="A31" s="129">
        <v>2011</v>
      </c>
      <c r="B31" s="130">
        <v>40554</v>
      </c>
      <c r="C31" s="131" t="s">
        <v>522</v>
      </c>
      <c r="D31" s="132">
        <v>12737426</v>
      </c>
      <c r="E31" s="133">
        <v>1353427</v>
      </c>
      <c r="F31" s="944"/>
      <c r="G31" s="132">
        <v>9713903</v>
      </c>
      <c r="H31" s="133">
        <v>1076520</v>
      </c>
      <c r="I31" s="134">
        <v>0.8</v>
      </c>
      <c r="J31" s="405" t="s">
        <v>664</v>
      </c>
      <c r="K31" s="133">
        <v>620439</v>
      </c>
      <c r="L31" s="948"/>
      <c r="M31" s="948"/>
    </row>
    <row r="32" spans="12:13" ht="19.5" thickBot="1">
      <c r="L32" s="948"/>
      <c r="M32" s="948"/>
    </row>
    <row r="33" spans="1:13" ht="18.75">
      <c r="A33" s="249">
        <v>2012</v>
      </c>
      <c r="B33" s="250">
        <v>40925</v>
      </c>
      <c r="C33" s="251" t="s">
        <v>525</v>
      </c>
      <c r="D33" s="252">
        <v>24443123.92</v>
      </c>
      <c r="E33" s="253">
        <v>2732568</v>
      </c>
      <c r="F33" s="953">
        <f>IF(E34&lt;&gt;0,-(E34-E33)/E34,"")</f>
        <v>1.77254814423994</v>
      </c>
      <c r="G33" s="252">
        <v>20786816.67</v>
      </c>
      <c r="H33" s="253">
        <v>2386844</v>
      </c>
      <c r="I33" s="254">
        <v>0.87</v>
      </c>
      <c r="J33" s="406" t="s">
        <v>718</v>
      </c>
      <c r="K33" s="253">
        <v>2233041</v>
      </c>
      <c r="L33" s="948"/>
      <c r="M33" s="948"/>
    </row>
    <row r="34" spans="1:13" ht="19.5" thickBot="1">
      <c r="A34" s="129">
        <v>2011</v>
      </c>
      <c r="B34" s="130">
        <v>40766</v>
      </c>
      <c r="C34" s="131" t="s">
        <v>529</v>
      </c>
      <c r="D34" s="132">
        <v>9243878.25</v>
      </c>
      <c r="E34" s="133">
        <v>985580</v>
      </c>
      <c r="F34" s="954"/>
      <c r="G34" s="132">
        <v>6508163.25</v>
      </c>
      <c r="H34" s="133">
        <v>735944</v>
      </c>
      <c r="I34" s="134">
        <v>0.75</v>
      </c>
      <c r="J34" s="405" t="s">
        <v>664</v>
      </c>
      <c r="K34" s="133">
        <v>415293</v>
      </c>
      <c r="L34" s="948"/>
      <c r="M34" s="948"/>
    </row>
    <row r="35" spans="12:13" ht="18.75">
      <c r="L35" s="948"/>
      <c r="M35" s="948"/>
    </row>
    <row r="36" spans="12:13" ht="18.75">
      <c r="L36" s="948"/>
      <c r="M36" s="948"/>
    </row>
    <row r="37" spans="12:13" ht="18.75">
      <c r="L37" s="948"/>
      <c r="M37" s="948"/>
    </row>
    <row r="38" spans="12:13" ht="18.75">
      <c r="L38" s="948"/>
      <c r="M38" s="948"/>
    </row>
    <row r="39" spans="12:13" ht="18.75">
      <c r="L39" s="948"/>
      <c r="M39" s="948"/>
    </row>
    <row r="40" spans="12:13" ht="18.75">
      <c r="L40" s="948"/>
      <c r="M40" s="948"/>
    </row>
    <row r="41" spans="12:13" ht="18.75">
      <c r="L41" s="948"/>
      <c r="M41" s="948"/>
    </row>
    <row r="42" spans="12:13" ht="18.75">
      <c r="L42" s="948"/>
      <c r="M42" s="948"/>
    </row>
    <row r="43" spans="12:13" ht="18.75">
      <c r="L43" s="948"/>
      <c r="M43" s="948"/>
    </row>
    <row r="44" spans="12:13" ht="18.75">
      <c r="L44" s="948"/>
      <c r="M44" s="948"/>
    </row>
  </sheetData>
  <sheetProtection/>
  <mergeCells count="13">
    <mergeCell ref="F11:F12"/>
    <mergeCell ref="F14:F15"/>
    <mergeCell ref="F17:F18"/>
    <mergeCell ref="F30:F31"/>
    <mergeCell ref="L1:M22"/>
    <mergeCell ref="L23:M44"/>
    <mergeCell ref="F27:F28"/>
    <mergeCell ref="A23:K23"/>
    <mergeCell ref="F20:F21"/>
    <mergeCell ref="F33:F34"/>
    <mergeCell ref="A1:K1"/>
    <mergeCell ref="F5:F6"/>
    <mergeCell ref="F8:F9"/>
  </mergeCells>
  <printOptions/>
  <pageMargins left="0.7" right="0.7" top="0.75" bottom="0.75" header="0.3" footer="0.3"/>
  <pageSetup horizontalDpi="600" verticalDpi="600" orientation="portrait" paperSize="9" r:id="rId1"/>
  <ignoredErrors>
    <ignoredError sqref="C6 C8:C12 C14:C15 C27:C28 C17:C18 C30:C31 C34" numberStoredAsText="1"/>
  </ignoredErrors>
</worksheet>
</file>

<file path=xl/worksheets/sheet7.xml><?xml version="1.0" encoding="utf-8"?>
<worksheet xmlns="http://schemas.openxmlformats.org/spreadsheetml/2006/main" xmlns:r="http://schemas.openxmlformats.org/officeDocument/2006/relationships">
  <dimension ref="A1:X128"/>
  <sheetViews>
    <sheetView zoomScalePageLayoutView="0" workbookViewId="0" topLeftCell="A99">
      <selection activeCell="A130" sqref="A130"/>
    </sheetView>
  </sheetViews>
  <sheetFormatPr defaultColWidth="9.140625" defaultRowHeight="12.75"/>
  <cols>
    <col min="1" max="1" width="3.00390625" style="150" bestFit="1" customWidth="1"/>
    <col min="2" max="2" width="4.7109375" style="150" bestFit="1" customWidth="1"/>
    <col min="3" max="3" width="31.00390625" style="163" bestFit="1" customWidth="1"/>
    <col min="4" max="4" width="8.8515625" style="152" bestFit="1" customWidth="1"/>
    <col min="5" max="9" width="4.57421875" style="0" bestFit="1" customWidth="1"/>
    <col min="10" max="11" width="5.140625" style="0" bestFit="1" customWidth="1"/>
    <col min="12" max="13" width="5.57421875" style="0" bestFit="1" customWidth="1"/>
    <col min="14" max="21" width="4.57421875" style="0" bestFit="1" customWidth="1"/>
    <col min="22" max="22" width="5.57421875" style="0" bestFit="1" customWidth="1"/>
    <col min="23" max="24" width="7.00390625" style="0" bestFit="1" customWidth="1"/>
    <col min="25" max="48" width="9.140625" style="186" customWidth="1"/>
  </cols>
  <sheetData>
    <row r="1" spans="1:24" ht="15.75">
      <c r="A1" s="165"/>
      <c r="B1" s="165"/>
      <c r="C1" s="166"/>
      <c r="D1" s="955" t="s">
        <v>334</v>
      </c>
      <c r="E1" s="956"/>
      <c r="F1" s="956"/>
      <c r="G1" s="956"/>
      <c r="H1" s="956"/>
      <c r="I1" s="956"/>
      <c r="J1" s="956"/>
      <c r="K1" s="956"/>
      <c r="L1" s="956"/>
      <c r="M1" s="956"/>
      <c r="N1" s="956"/>
      <c r="O1" s="956"/>
      <c r="P1" s="956"/>
      <c r="Q1" s="956"/>
      <c r="R1" s="956"/>
      <c r="S1" s="956"/>
      <c r="T1" s="956"/>
      <c r="U1" s="956"/>
      <c r="V1" s="956"/>
      <c r="W1" s="956"/>
      <c r="X1" s="956"/>
    </row>
    <row r="2" spans="1:24" ht="15.75">
      <c r="A2" s="165"/>
      <c r="B2" s="165"/>
      <c r="C2" s="166"/>
      <c r="D2" s="956"/>
      <c r="E2" s="956"/>
      <c r="F2" s="956"/>
      <c r="G2" s="956"/>
      <c r="H2" s="956"/>
      <c r="I2" s="956"/>
      <c r="J2" s="956"/>
      <c r="K2" s="956"/>
      <c r="L2" s="956"/>
      <c r="M2" s="956"/>
      <c r="N2" s="956"/>
      <c r="O2" s="956"/>
      <c r="P2" s="956"/>
      <c r="Q2" s="956"/>
      <c r="R2" s="956"/>
      <c r="S2" s="956"/>
      <c r="T2" s="956"/>
      <c r="U2" s="956"/>
      <c r="V2" s="956"/>
      <c r="W2" s="956"/>
      <c r="X2" s="956"/>
    </row>
    <row r="3" spans="1:24" ht="15.75">
      <c r="A3" s="165"/>
      <c r="B3" s="165"/>
      <c r="C3" s="167"/>
      <c r="D3" s="151" t="s">
        <v>329</v>
      </c>
      <c r="E3" s="140">
        <v>1</v>
      </c>
      <c r="F3" s="140">
        <v>2</v>
      </c>
      <c r="G3" s="140">
        <v>3</v>
      </c>
      <c r="H3" s="140">
        <v>4</v>
      </c>
      <c r="I3" s="140">
        <v>5</v>
      </c>
      <c r="J3" s="140">
        <v>6</v>
      </c>
      <c r="K3" s="140">
        <v>7</v>
      </c>
      <c r="L3" s="140">
        <v>8</v>
      </c>
      <c r="M3" s="140">
        <v>9</v>
      </c>
      <c r="N3" s="140">
        <v>10</v>
      </c>
      <c r="O3" s="140">
        <v>11</v>
      </c>
      <c r="P3" s="140">
        <v>12</v>
      </c>
      <c r="Q3" s="140">
        <v>13</v>
      </c>
      <c r="R3" s="140">
        <v>14</v>
      </c>
      <c r="S3" s="140">
        <v>15</v>
      </c>
      <c r="T3" s="140">
        <v>16</v>
      </c>
      <c r="U3" s="140">
        <v>17</v>
      </c>
      <c r="V3" s="140">
        <v>18</v>
      </c>
      <c r="W3" s="141" t="s">
        <v>310</v>
      </c>
      <c r="X3" s="142"/>
    </row>
    <row r="4" spans="1:24" ht="16.5" thickBot="1">
      <c r="A4" s="168"/>
      <c r="B4" s="168"/>
      <c r="C4" s="169"/>
      <c r="D4" s="155" t="s">
        <v>331</v>
      </c>
      <c r="E4" s="170">
        <v>0.75</v>
      </c>
      <c r="F4" s="170">
        <v>0.25</v>
      </c>
      <c r="G4" s="170">
        <v>3</v>
      </c>
      <c r="H4" s="170">
        <v>2</v>
      </c>
      <c r="I4" s="170">
        <v>0.75</v>
      </c>
      <c r="J4" s="170">
        <v>-3</v>
      </c>
      <c r="K4" s="170">
        <v>-4</v>
      </c>
      <c r="L4" s="170">
        <v>20</v>
      </c>
      <c r="M4" s="170">
        <v>10</v>
      </c>
      <c r="N4" s="170">
        <v>5</v>
      </c>
      <c r="O4" s="170">
        <v>3</v>
      </c>
      <c r="P4" s="170">
        <v>5</v>
      </c>
      <c r="Q4" s="170">
        <v>7</v>
      </c>
      <c r="R4" s="170">
        <v>3</v>
      </c>
      <c r="S4" s="170">
        <v>3</v>
      </c>
      <c r="T4" s="170">
        <v>3</v>
      </c>
      <c r="U4" s="170">
        <v>8.25</v>
      </c>
      <c r="V4" s="170">
        <v>16</v>
      </c>
      <c r="W4" s="156" t="s">
        <v>330</v>
      </c>
      <c r="X4" s="157" t="s">
        <v>310</v>
      </c>
    </row>
    <row r="5" spans="1:24" ht="16.5">
      <c r="A5" s="164">
        <v>1</v>
      </c>
      <c r="B5" s="164"/>
      <c r="C5" s="171" t="s">
        <v>8</v>
      </c>
      <c r="D5" s="153">
        <v>27.25</v>
      </c>
      <c r="E5" s="144">
        <v>1.5</v>
      </c>
      <c r="F5" s="144">
        <v>0.75</v>
      </c>
      <c r="G5" s="144">
        <v>0</v>
      </c>
      <c r="H5" s="144">
        <v>2</v>
      </c>
      <c r="I5" s="144">
        <v>0</v>
      </c>
      <c r="J5" s="144">
        <v>0</v>
      </c>
      <c r="K5" s="144">
        <v>0</v>
      </c>
      <c r="L5" s="143">
        <v>0</v>
      </c>
      <c r="M5" s="143">
        <v>0</v>
      </c>
      <c r="N5" s="144">
        <v>5</v>
      </c>
      <c r="O5" s="144">
        <v>3</v>
      </c>
      <c r="P5" s="144">
        <v>5</v>
      </c>
      <c r="Q5" s="144">
        <v>7</v>
      </c>
      <c r="R5" s="144">
        <v>3</v>
      </c>
      <c r="S5" s="144">
        <v>0</v>
      </c>
      <c r="T5" s="144">
        <v>0</v>
      </c>
      <c r="U5" s="144">
        <v>0</v>
      </c>
      <c r="V5" s="144">
        <v>0</v>
      </c>
      <c r="W5" s="144">
        <v>27.25</v>
      </c>
      <c r="X5" s="145">
        <v>1</v>
      </c>
    </row>
    <row r="6" spans="1:24" ht="16.5">
      <c r="A6" s="150">
        <v>2</v>
      </c>
      <c r="C6" s="172" t="s">
        <v>333</v>
      </c>
      <c r="D6" s="153">
        <v>13.5</v>
      </c>
      <c r="E6" s="144">
        <v>5.25</v>
      </c>
      <c r="F6" s="144">
        <v>3.5</v>
      </c>
      <c r="G6" s="144">
        <v>0</v>
      </c>
      <c r="H6" s="144">
        <v>4</v>
      </c>
      <c r="I6" s="146">
        <v>0.75</v>
      </c>
      <c r="J6" s="144">
        <v>0</v>
      </c>
      <c r="K6" s="144">
        <v>0</v>
      </c>
      <c r="L6" s="143">
        <v>0</v>
      </c>
      <c r="M6" s="143">
        <v>0</v>
      </c>
      <c r="N6" s="146">
        <v>0</v>
      </c>
      <c r="O6" s="146">
        <v>0</v>
      </c>
      <c r="P6" s="146">
        <v>0</v>
      </c>
      <c r="Q6" s="146">
        <v>0</v>
      </c>
      <c r="R6" s="146">
        <v>0</v>
      </c>
      <c r="S6" s="146">
        <v>0</v>
      </c>
      <c r="T6" s="146">
        <v>0</v>
      </c>
      <c r="U6" s="146">
        <v>0</v>
      </c>
      <c r="V6" s="146">
        <v>0</v>
      </c>
      <c r="W6" s="144">
        <v>13.5</v>
      </c>
      <c r="X6" s="145">
        <v>1</v>
      </c>
    </row>
    <row r="7" spans="1:24" ht="16.5">
      <c r="A7" s="164">
        <v>3</v>
      </c>
      <c r="B7" s="164"/>
      <c r="C7" s="173" t="s">
        <v>10</v>
      </c>
      <c r="D7" s="153">
        <v>6.75</v>
      </c>
      <c r="E7" s="143">
        <v>0.75</v>
      </c>
      <c r="F7" s="143">
        <v>1</v>
      </c>
      <c r="G7" s="143">
        <v>0</v>
      </c>
      <c r="H7" s="143">
        <v>2</v>
      </c>
      <c r="I7" s="143">
        <v>0</v>
      </c>
      <c r="J7" s="143">
        <v>0</v>
      </c>
      <c r="K7" s="143">
        <v>0</v>
      </c>
      <c r="L7" s="143">
        <v>0</v>
      </c>
      <c r="M7" s="143">
        <v>0</v>
      </c>
      <c r="N7" s="143">
        <v>0</v>
      </c>
      <c r="O7" s="143">
        <v>0</v>
      </c>
      <c r="P7" s="143">
        <v>0</v>
      </c>
      <c r="Q7" s="143">
        <v>0</v>
      </c>
      <c r="R7" s="143">
        <v>0</v>
      </c>
      <c r="S7" s="143">
        <v>0</v>
      </c>
      <c r="T7" s="143">
        <v>3</v>
      </c>
      <c r="U7" s="143">
        <v>0</v>
      </c>
      <c r="V7" s="143">
        <v>0</v>
      </c>
      <c r="W7" s="144">
        <v>6.75</v>
      </c>
      <c r="X7" s="145">
        <v>1</v>
      </c>
    </row>
    <row r="8" spans="1:24" ht="16.5">
      <c r="A8" s="150">
        <v>4</v>
      </c>
      <c r="C8" s="172" t="s">
        <v>12</v>
      </c>
      <c r="D8" s="153">
        <v>6.25</v>
      </c>
      <c r="E8" s="144">
        <v>0.75</v>
      </c>
      <c r="F8" s="144">
        <v>2.5</v>
      </c>
      <c r="G8" s="144">
        <v>0</v>
      </c>
      <c r="H8" s="144">
        <v>0</v>
      </c>
      <c r="I8" s="144">
        <v>0</v>
      </c>
      <c r="J8" s="144">
        <v>0</v>
      </c>
      <c r="K8" s="144">
        <v>0</v>
      </c>
      <c r="L8" s="143">
        <v>0</v>
      </c>
      <c r="M8" s="143">
        <v>0</v>
      </c>
      <c r="N8" s="144">
        <v>0</v>
      </c>
      <c r="O8" s="144">
        <v>0</v>
      </c>
      <c r="P8" s="144">
        <v>0</v>
      </c>
      <c r="Q8" s="144">
        <v>0</v>
      </c>
      <c r="R8" s="144">
        <v>0</v>
      </c>
      <c r="S8" s="144">
        <v>3</v>
      </c>
      <c r="T8" s="144">
        <v>0</v>
      </c>
      <c r="U8" s="144">
        <v>0</v>
      </c>
      <c r="V8" s="144">
        <v>0</v>
      </c>
      <c r="W8" s="144">
        <v>6.25</v>
      </c>
      <c r="X8" s="145">
        <v>1</v>
      </c>
    </row>
    <row r="9" spans="1:24" ht="16.5">
      <c r="A9" s="164">
        <v>5</v>
      </c>
      <c r="B9" s="164"/>
      <c r="C9" s="171" t="s">
        <v>53</v>
      </c>
      <c r="D9" s="153">
        <v>3.5</v>
      </c>
      <c r="E9" s="144">
        <v>3</v>
      </c>
      <c r="F9" s="144">
        <v>0.5</v>
      </c>
      <c r="G9" s="144">
        <v>0</v>
      </c>
      <c r="H9" s="144">
        <v>0</v>
      </c>
      <c r="I9" s="144">
        <v>0</v>
      </c>
      <c r="J9" s="144">
        <v>0</v>
      </c>
      <c r="K9" s="144">
        <v>0</v>
      </c>
      <c r="L9" s="143">
        <v>0</v>
      </c>
      <c r="M9" s="143">
        <v>0</v>
      </c>
      <c r="N9" s="144">
        <v>0</v>
      </c>
      <c r="O9" s="144">
        <v>0</v>
      </c>
      <c r="P9" s="144">
        <v>0</v>
      </c>
      <c r="Q9" s="144">
        <v>0</v>
      </c>
      <c r="R9" s="144">
        <v>0</v>
      </c>
      <c r="S9" s="144">
        <v>0</v>
      </c>
      <c r="T9" s="144">
        <v>0</v>
      </c>
      <c r="U9" s="144">
        <v>0</v>
      </c>
      <c r="V9" s="144">
        <v>0</v>
      </c>
      <c r="W9" s="144">
        <v>3.5</v>
      </c>
      <c r="X9" s="145">
        <v>1</v>
      </c>
    </row>
    <row r="10" spans="1:24" ht="16.5">
      <c r="A10" s="165">
        <v>6</v>
      </c>
      <c r="B10" s="165"/>
      <c r="C10" s="172" t="s">
        <v>52</v>
      </c>
      <c r="D10" s="153">
        <v>2.25</v>
      </c>
      <c r="E10" s="144">
        <v>1.5</v>
      </c>
      <c r="F10" s="144">
        <v>0.75</v>
      </c>
      <c r="G10" s="144">
        <v>0</v>
      </c>
      <c r="H10" s="144">
        <v>0</v>
      </c>
      <c r="I10" s="144">
        <v>0</v>
      </c>
      <c r="J10" s="144">
        <v>0</v>
      </c>
      <c r="K10" s="144">
        <v>0</v>
      </c>
      <c r="L10" s="143">
        <v>0</v>
      </c>
      <c r="M10" s="143">
        <v>0</v>
      </c>
      <c r="N10" s="144">
        <v>0</v>
      </c>
      <c r="O10" s="144">
        <v>0</v>
      </c>
      <c r="P10" s="144">
        <v>0</v>
      </c>
      <c r="Q10" s="144">
        <v>0</v>
      </c>
      <c r="R10" s="144">
        <v>0</v>
      </c>
      <c r="S10" s="144">
        <v>0</v>
      </c>
      <c r="T10" s="144">
        <v>0</v>
      </c>
      <c r="U10" s="144">
        <v>0</v>
      </c>
      <c r="V10" s="144">
        <v>0</v>
      </c>
      <c r="W10" s="144">
        <v>2.25</v>
      </c>
      <c r="X10" s="145">
        <v>1</v>
      </c>
    </row>
    <row r="11" spans="1:24" ht="16.5">
      <c r="A11" s="164">
        <v>7</v>
      </c>
      <c r="B11" s="164"/>
      <c r="C11" s="171" t="s">
        <v>121</v>
      </c>
      <c r="D11" s="153">
        <v>0.75</v>
      </c>
      <c r="E11" s="144">
        <v>0.75</v>
      </c>
      <c r="F11" s="144">
        <v>0</v>
      </c>
      <c r="G11" s="144">
        <v>0</v>
      </c>
      <c r="H11" s="144">
        <v>0</v>
      </c>
      <c r="I11" s="144">
        <v>0</v>
      </c>
      <c r="J11" s="144">
        <v>0</v>
      </c>
      <c r="K11" s="144">
        <v>0</v>
      </c>
      <c r="L11" s="143">
        <v>0</v>
      </c>
      <c r="M11" s="143">
        <v>0</v>
      </c>
      <c r="N11" s="144">
        <v>0</v>
      </c>
      <c r="O11" s="144">
        <v>0</v>
      </c>
      <c r="P11" s="144">
        <v>0</v>
      </c>
      <c r="Q11" s="144">
        <v>0</v>
      </c>
      <c r="R11" s="144">
        <v>0</v>
      </c>
      <c r="S11" s="144">
        <v>0</v>
      </c>
      <c r="T11" s="144">
        <v>0</v>
      </c>
      <c r="U11" s="144">
        <v>0</v>
      </c>
      <c r="V11" s="144">
        <v>0</v>
      </c>
      <c r="W11" s="144">
        <v>0.75</v>
      </c>
      <c r="X11" s="145">
        <v>1</v>
      </c>
    </row>
    <row r="12" spans="1:24" ht="17.25" thickBot="1">
      <c r="A12" s="168">
        <v>8</v>
      </c>
      <c r="B12" s="168"/>
      <c r="C12" s="174" t="s">
        <v>332</v>
      </c>
      <c r="D12" s="159">
        <v>-1</v>
      </c>
      <c r="E12" s="160">
        <v>0</v>
      </c>
      <c r="F12" s="160">
        <v>1</v>
      </c>
      <c r="G12" s="160">
        <v>0</v>
      </c>
      <c r="H12" s="160">
        <v>4</v>
      </c>
      <c r="I12" s="160">
        <v>0</v>
      </c>
      <c r="J12" s="160">
        <v>-6</v>
      </c>
      <c r="K12" s="160">
        <v>0</v>
      </c>
      <c r="L12" s="162">
        <v>0</v>
      </c>
      <c r="M12" s="162">
        <v>0</v>
      </c>
      <c r="N12" s="160">
        <v>0</v>
      </c>
      <c r="O12" s="160">
        <v>0</v>
      </c>
      <c r="P12" s="160">
        <v>0</v>
      </c>
      <c r="Q12" s="160">
        <v>0</v>
      </c>
      <c r="R12" s="160">
        <v>0</v>
      </c>
      <c r="S12" s="160">
        <v>0</v>
      </c>
      <c r="T12" s="160">
        <v>0</v>
      </c>
      <c r="U12" s="160">
        <v>0</v>
      </c>
      <c r="V12" s="160">
        <v>0</v>
      </c>
      <c r="W12" s="160">
        <v>-1</v>
      </c>
      <c r="X12" s="161">
        <v>1</v>
      </c>
    </row>
    <row r="13" spans="1:24" ht="15.75">
      <c r="A13" s="165"/>
      <c r="B13" s="165"/>
      <c r="C13" s="167"/>
      <c r="D13" s="154"/>
      <c r="E13" s="147"/>
      <c r="F13" s="147"/>
      <c r="G13" s="147"/>
      <c r="H13" s="148"/>
      <c r="I13" s="148"/>
      <c r="J13" s="147"/>
      <c r="K13" s="147"/>
      <c r="L13" s="147"/>
      <c r="M13" s="147"/>
      <c r="N13" s="147"/>
      <c r="O13" s="147"/>
      <c r="P13" s="147"/>
      <c r="Q13" s="147"/>
      <c r="R13" s="147"/>
      <c r="S13" s="147"/>
      <c r="T13" s="147"/>
      <c r="U13" s="147"/>
      <c r="V13" s="147"/>
      <c r="W13" s="149"/>
      <c r="X13" s="139"/>
    </row>
    <row r="14" spans="1:24" ht="15.75">
      <c r="A14" s="165"/>
      <c r="B14" s="165"/>
      <c r="C14" s="167"/>
      <c r="D14" s="955" t="s">
        <v>369</v>
      </c>
      <c r="E14" s="956"/>
      <c r="F14" s="956"/>
      <c r="G14" s="956"/>
      <c r="H14" s="956"/>
      <c r="I14" s="956"/>
      <c r="J14" s="956"/>
      <c r="K14" s="956"/>
      <c r="L14" s="956"/>
      <c r="M14" s="956"/>
      <c r="N14" s="956"/>
      <c r="O14" s="956"/>
      <c r="P14" s="956"/>
      <c r="Q14" s="956"/>
      <c r="R14" s="956"/>
      <c r="S14" s="956"/>
      <c r="T14" s="956"/>
      <c r="U14" s="956"/>
      <c r="V14" s="956"/>
      <c r="W14" s="956"/>
      <c r="X14" s="956"/>
    </row>
    <row r="15" spans="1:24" ht="15.75">
      <c r="A15" s="165"/>
      <c r="B15" s="165"/>
      <c r="C15" s="167"/>
      <c r="D15" s="956"/>
      <c r="E15" s="956"/>
      <c r="F15" s="956"/>
      <c r="G15" s="956"/>
      <c r="H15" s="956"/>
      <c r="I15" s="956"/>
      <c r="J15" s="956"/>
      <c r="K15" s="956"/>
      <c r="L15" s="956"/>
      <c r="M15" s="956"/>
      <c r="N15" s="956"/>
      <c r="O15" s="956"/>
      <c r="P15" s="956"/>
      <c r="Q15" s="956"/>
      <c r="R15" s="956"/>
      <c r="S15" s="956"/>
      <c r="T15" s="956"/>
      <c r="U15" s="956"/>
      <c r="V15" s="956"/>
      <c r="W15" s="956"/>
      <c r="X15" s="956"/>
    </row>
    <row r="16" spans="1:24" ht="15.75">
      <c r="A16" s="165"/>
      <c r="B16" s="165"/>
      <c r="C16" s="167"/>
      <c r="D16" s="151" t="s">
        <v>329</v>
      </c>
      <c r="E16" s="140">
        <v>1</v>
      </c>
      <c r="F16" s="140">
        <v>2</v>
      </c>
      <c r="G16" s="140">
        <v>3</v>
      </c>
      <c r="H16" s="140">
        <v>4</v>
      </c>
      <c r="I16" s="140">
        <v>5</v>
      </c>
      <c r="J16" s="140">
        <v>6</v>
      </c>
      <c r="K16" s="140">
        <v>7</v>
      </c>
      <c r="L16" s="140">
        <v>8</v>
      </c>
      <c r="M16" s="140">
        <v>9</v>
      </c>
      <c r="N16" s="140">
        <v>10</v>
      </c>
      <c r="O16" s="140">
        <v>11</v>
      </c>
      <c r="P16" s="140">
        <v>12</v>
      </c>
      <c r="Q16" s="140">
        <v>13</v>
      </c>
      <c r="R16" s="140">
        <v>14</v>
      </c>
      <c r="S16" s="140">
        <v>15</v>
      </c>
      <c r="T16" s="140">
        <v>16</v>
      </c>
      <c r="U16" s="140">
        <v>17</v>
      </c>
      <c r="V16" s="140">
        <v>18</v>
      </c>
      <c r="W16" s="141" t="s">
        <v>310</v>
      </c>
      <c r="X16" s="142"/>
    </row>
    <row r="17" spans="1:24" ht="16.5" thickBot="1">
      <c r="A17" s="168"/>
      <c r="B17" s="168"/>
      <c r="C17" s="169"/>
      <c r="D17" s="155" t="s">
        <v>331</v>
      </c>
      <c r="E17" s="170">
        <v>0.75</v>
      </c>
      <c r="F17" s="170">
        <v>0.25</v>
      </c>
      <c r="G17" s="170">
        <v>3</v>
      </c>
      <c r="H17" s="170">
        <v>2</v>
      </c>
      <c r="I17" s="170">
        <v>0.75</v>
      </c>
      <c r="J17" s="170">
        <v>-3</v>
      </c>
      <c r="K17" s="170">
        <v>-4</v>
      </c>
      <c r="L17" s="170">
        <v>20</v>
      </c>
      <c r="M17" s="170">
        <v>10</v>
      </c>
      <c r="N17" s="170">
        <v>5</v>
      </c>
      <c r="O17" s="170">
        <v>3</v>
      </c>
      <c r="P17" s="170">
        <v>5</v>
      </c>
      <c r="Q17" s="170">
        <v>7</v>
      </c>
      <c r="R17" s="170">
        <v>3</v>
      </c>
      <c r="S17" s="170">
        <v>3</v>
      </c>
      <c r="T17" s="170">
        <v>3</v>
      </c>
      <c r="U17" s="170">
        <v>8.25</v>
      </c>
      <c r="V17" s="170">
        <v>16</v>
      </c>
      <c r="W17" s="156" t="s">
        <v>330</v>
      </c>
      <c r="X17" s="157" t="s">
        <v>310</v>
      </c>
    </row>
    <row r="18" spans="1:24" ht="19.5">
      <c r="A18" s="164">
        <v>1</v>
      </c>
      <c r="B18" s="179">
        <v>4</v>
      </c>
      <c r="C18" s="175" t="s">
        <v>8</v>
      </c>
      <c r="D18" s="153">
        <f>W5+W18</f>
        <v>39.5</v>
      </c>
      <c r="E18" s="144">
        <v>1.5</v>
      </c>
      <c r="F18" s="144">
        <v>0.75</v>
      </c>
      <c r="G18" s="144">
        <v>0</v>
      </c>
      <c r="H18" s="144">
        <v>2</v>
      </c>
      <c r="I18" s="144">
        <v>0</v>
      </c>
      <c r="J18" s="144">
        <v>0</v>
      </c>
      <c r="K18" s="144">
        <v>0</v>
      </c>
      <c r="L18" s="144">
        <v>0</v>
      </c>
      <c r="M18" s="144">
        <v>0</v>
      </c>
      <c r="N18" s="144">
        <v>0</v>
      </c>
      <c r="O18" s="144">
        <v>0</v>
      </c>
      <c r="P18" s="144">
        <v>5</v>
      </c>
      <c r="Q18" s="144">
        <v>0</v>
      </c>
      <c r="R18" s="144">
        <v>3</v>
      </c>
      <c r="S18" s="144">
        <v>0</v>
      </c>
      <c r="T18" s="144">
        <v>0</v>
      </c>
      <c r="U18" s="144">
        <v>0</v>
      </c>
      <c r="V18" s="144">
        <v>0</v>
      </c>
      <c r="W18" s="144">
        <f>SUM(E18:V18)</f>
        <v>12.25</v>
      </c>
      <c r="X18" s="145">
        <v>2</v>
      </c>
    </row>
    <row r="19" spans="1:24" ht="19.5">
      <c r="A19" s="150">
        <v>2</v>
      </c>
      <c r="B19" s="180">
        <v>4</v>
      </c>
      <c r="C19" s="176" t="s">
        <v>333</v>
      </c>
      <c r="D19" s="153">
        <f aca="true" t="shared" si="0" ref="D19:D25">W6+W19</f>
        <v>36.5</v>
      </c>
      <c r="E19" s="144">
        <v>6.75</v>
      </c>
      <c r="F19" s="144">
        <v>4.5</v>
      </c>
      <c r="G19" s="144">
        <v>0</v>
      </c>
      <c r="H19" s="144">
        <v>4</v>
      </c>
      <c r="I19" s="144">
        <v>0.75</v>
      </c>
      <c r="J19" s="144">
        <v>0</v>
      </c>
      <c r="K19" s="144">
        <v>0</v>
      </c>
      <c r="L19" s="144">
        <v>0</v>
      </c>
      <c r="M19" s="144">
        <v>0</v>
      </c>
      <c r="N19" s="144">
        <v>0</v>
      </c>
      <c r="O19" s="144">
        <v>0</v>
      </c>
      <c r="P19" s="144">
        <v>0</v>
      </c>
      <c r="Q19" s="144">
        <v>7</v>
      </c>
      <c r="R19" s="144">
        <v>0</v>
      </c>
      <c r="S19" s="144">
        <v>0</v>
      </c>
      <c r="T19" s="144">
        <v>0</v>
      </c>
      <c r="U19" s="144">
        <v>0</v>
      </c>
      <c r="V19" s="144">
        <v>0</v>
      </c>
      <c r="W19" s="144">
        <f aca="true" t="shared" si="1" ref="W19:W25">SUM(E19:V19)</f>
        <v>23</v>
      </c>
      <c r="X19" s="145">
        <v>2</v>
      </c>
    </row>
    <row r="20" spans="1:24" ht="19.5">
      <c r="A20" s="164">
        <v>3</v>
      </c>
      <c r="B20" s="181">
        <v>5</v>
      </c>
      <c r="C20" s="175" t="s">
        <v>12</v>
      </c>
      <c r="D20" s="153">
        <f t="shared" si="0"/>
        <v>22.75</v>
      </c>
      <c r="E20" s="144">
        <v>1.5</v>
      </c>
      <c r="F20" s="144">
        <v>2.5</v>
      </c>
      <c r="G20" s="144">
        <v>3</v>
      </c>
      <c r="H20" s="144">
        <v>0</v>
      </c>
      <c r="I20" s="144">
        <v>0</v>
      </c>
      <c r="J20" s="144">
        <v>0</v>
      </c>
      <c r="K20" s="144">
        <v>0</v>
      </c>
      <c r="L20" s="144">
        <v>0</v>
      </c>
      <c r="M20" s="144">
        <v>0</v>
      </c>
      <c r="N20" s="144">
        <v>0</v>
      </c>
      <c r="O20" s="144">
        <v>3</v>
      </c>
      <c r="P20" s="144">
        <v>0</v>
      </c>
      <c r="Q20" s="144">
        <v>0</v>
      </c>
      <c r="R20" s="144">
        <v>0</v>
      </c>
      <c r="S20" s="144">
        <v>3</v>
      </c>
      <c r="T20" s="144">
        <v>3</v>
      </c>
      <c r="U20" s="144">
        <v>0</v>
      </c>
      <c r="V20" s="144">
        <v>0</v>
      </c>
      <c r="W20" s="144">
        <f t="shared" si="1"/>
        <v>16</v>
      </c>
      <c r="X20" s="145">
        <v>2</v>
      </c>
    </row>
    <row r="21" spans="1:24" ht="19.5">
      <c r="A21" s="150">
        <v>4</v>
      </c>
      <c r="B21" s="182">
        <v>5</v>
      </c>
      <c r="C21" s="176" t="s">
        <v>53</v>
      </c>
      <c r="D21" s="153">
        <f t="shared" si="0"/>
        <v>13.25</v>
      </c>
      <c r="E21" s="144">
        <v>3.75</v>
      </c>
      <c r="F21" s="144">
        <v>0.25</v>
      </c>
      <c r="G21" s="144">
        <v>3</v>
      </c>
      <c r="H21" s="144">
        <v>0</v>
      </c>
      <c r="I21" s="144">
        <v>0</v>
      </c>
      <c r="J21" s="144">
        <v>0</v>
      </c>
      <c r="K21" s="144">
        <v>0</v>
      </c>
      <c r="L21" s="144">
        <v>0</v>
      </c>
      <c r="M21" s="144">
        <v>0</v>
      </c>
      <c r="N21" s="144">
        <v>0</v>
      </c>
      <c r="O21" s="144">
        <v>0</v>
      </c>
      <c r="P21" s="144">
        <v>0</v>
      </c>
      <c r="Q21" s="144">
        <v>0</v>
      </c>
      <c r="R21" s="144">
        <v>0</v>
      </c>
      <c r="S21" s="144">
        <v>0</v>
      </c>
      <c r="T21" s="144">
        <v>0</v>
      </c>
      <c r="U21" s="144">
        <v>0</v>
      </c>
      <c r="V21" s="144">
        <v>0</v>
      </c>
      <c r="W21" s="144">
        <f t="shared" si="1"/>
        <v>7</v>
      </c>
      <c r="X21" s="145">
        <v>2</v>
      </c>
    </row>
    <row r="22" spans="1:24" ht="19.5">
      <c r="A22" s="164">
        <v>5</v>
      </c>
      <c r="B22" s="183">
        <v>6</v>
      </c>
      <c r="C22" s="177" t="s">
        <v>10</v>
      </c>
      <c r="D22" s="153">
        <f t="shared" si="0"/>
        <v>4.5</v>
      </c>
      <c r="E22" s="234">
        <v>0</v>
      </c>
      <c r="F22" s="234">
        <v>1</v>
      </c>
      <c r="G22" s="234">
        <v>0</v>
      </c>
      <c r="H22" s="234">
        <v>0</v>
      </c>
      <c r="I22" s="234">
        <v>0</v>
      </c>
      <c r="J22" s="234">
        <v>0</v>
      </c>
      <c r="K22" s="234">
        <v>0</v>
      </c>
      <c r="L22" s="234">
        <v>0</v>
      </c>
      <c r="M22" s="234">
        <v>0</v>
      </c>
      <c r="N22" s="234">
        <v>0</v>
      </c>
      <c r="O22" s="234">
        <v>0</v>
      </c>
      <c r="P22" s="234">
        <v>0</v>
      </c>
      <c r="Q22" s="234">
        <v>0</v>
      </c>
      <c r="R22" s="234">
        <v>0</v>
      </c>
      <c r="S22" s="234">
        <v>0</v>
      </c>
      <c r="T22" s="234">
        <v>0</v>
      </c>
      <c r="U22" s="234">
        <v>0</v>
      </c>
      <c r="V22" s="234">
        <v>0</v>
      </c>
      <c r="W22" s="144">
        <f t="shared" si="1"/>
        <v>1</v>
      </c>
      <c r="X22" s="145">
        <v>2</v>
      </c>
    </row>
    <row r="23" spans="1:24" ht="19.5">
      <c r="A23" s="165">
        <v>6</v>
      </c>
      <c r="B23" s="184">
        <v>4</v>
      </c>
      <c r="C23" s="176" t="s">
        <v>52</v>
      </c>
      <c r="D23" s="153">
        <f t="shared" si="0"/>
        <v>3.25</v>
      </c>
      <c r="E23" s="144">
        <v>0.75</v>
      </c>
      <c r="F23" s="144">
        <v>0.25</v>
      </c>
      <c r="G23" s="144">
        <v>0</v>
      </c>
      <c r="H23" s="144">
        <v>0</v>
      </c>
      <c r="I23" s="144">
        <v>0</v>
      </c>
      <c r="J23" s="144">
        <v>0</v>
      </c>
      <c r="K23" s="144">
        <v>0</v>
      </c>
      <c r="L23" s="144">
        <v>0</v>
      </c>
      <c r="M23" s="144">
        <v>0</v>
      </c>
      <c r="N23" s="144">
        <v>0</v>
      </c>
      <c r="O23" s="144">
        <v>0</v>
      </c>
      <c r="P23" s="144">
        <v>0</v>
      </c>
      <c r="Q23" s="144">
        <v>0</v>
      </c>
      <c r="R23" s="144">
        <v>0</v>
      </c>
      <c r="S23" s="144">
        <v>0</v>
      </c>
      <c r="T23" s="144">
        <v>0</v>
      </c>
      <c r="U23" s="144">
        <v>0</v>
      </c>
      <c r="V23" s="144">
        <v>0</v>
      </c>
      <c r="W23" s="144">
        <f t="shared" si="1"/>
        <v>1</v>
      </c>
      <c r="X23" s="145">
        <v>2</v>
      </c>
    </row>
    <row r="24" spans="1:24" ht="19.5">
      <c r="A24" s="164">
        <v>7</v>
      </c>
      <c r="B24" s="179">
        <v>4</v>
      </c>
      <c r="C24" s="175" t="s">
        <v>121</v>
      </c>
      <c r="D24" s="153">
        <f t="shared" si="0"/>
        <v>1.5</v>
      </c>
      <c r="E24" s="144">
        <v>0.75</v>
      </c>
      <c r="F24" s="144">
        <v>0</v>
      </c>
      <c r="G24" s="144">
        <v>0</v>
      </c>
      <c r="H24" s="144">
        <v>0</v>
      </c>
      <c r="I24" s="144">
        <v>0</v>
      </c>
      <c r="J24" s="144">
        <v>0</v>
      </c>
      <c r="K24" s="144">
        <v>0</v>
      </c>
      <c r="L24" s="144">
        <v>0</v>
      </c>
      <c r="M24" s="144">
        <v>0</v>
      </c>
      <c r="N24" s="144">
        <v>0</v>
      </c>
      <c r="O24" s="144">
        <v>0</v>
      </c>
      <c r="P24" s="144">
        <v>0</v>
      </c>
      <c r="Q24" s="144">
        <v>0</v>
      </c>
      <c r="R24" s="144">
        <v>0</v>
      </c>
      <c r="S24" s="144">
        <v>0</v>
      </c>
      <c r="T24" s="144">
        <v>0</v>
      </c>
      <c r="U24" s="144">
        <v>0</v>
      </c>
      <c r="V24" s="144">
        <v>0</v>
      </c>
      <c r="W24" s="144">
        <f t="shared" si="1"/>
        <v>0.75</v>
      </c>
      <c r="X24" s="145">
        <v>2</v>
      </c>
    </row>
    <row r="25" spans="1:24" ht="20.25" thickBot="1">
      <c r="A25" s="158">
        <v>8</v>
      </c>
      <c r="B25" s="185">
        <v>6</v>
      </c>
      <c r="C25" s="178" t="s">
        <v>332</v>
      </c>
      <c r="D25" s="159">
        <f t="shared" si="0"/>
        <v>0.5</v>
      </c>
      <c r="E25" s="160">
        <v>0</v>
      </c>
      <c r="F25" s="160">
        <v>1.5</v>
      </c>
      <c r="G25" s="160">
        <v>0</v>
      </c>
      <c r="H25" s="160">
        <v>0</v>
      </c>
      <c r="I25" s="160">
        <v>0</v>
      </c>
      <c r="J25" s="160">
        <v>0</v>
      </c>
      <c r="K25" s="160">
        <v>0</v>
      </c>
      <c r="L25" s="160">
        <v>0</v>
      </c>
      <c r="M25" s="160">
        <v>0</v>
      </c>
      <c r="N25" s="160">
        <v>0</v>
      </c>
      <c r="O25" s="160">
        <v>0</v>
      </c>
      <c r="P25" s="160">
        <v>0</v>
      </c>
      <c r="Q25" s="160">
        <v>0</v>
      </c>
      <c r="R25" s="160">
        <v>0</v>
      </c>
      <c r="S25" s="160">
        <v>0</v>
      </c>
      <c r="T25" s="160">
        <v>0</v>
      </c>
      <c r="U25" s="160">
        <v>0</v>
      </c>
      <c r="V25" s="160">
        <v>0</v>
      </c>
      <c r="W25" s="160">
        <f t="shared" si="1"/>
        <v>1.5</v>
      </c>
      <c r="X25" s="161">
        <v>2</v>
      </c>
    </row>
    <row r="26" ht="15.75"/>
    <row r="27" spans="1:24" ht="15.75">
      <c r="A27" s="165"/>
      <c r="B27" s="165"/>
      <c r="C27" s="167"/>
      <c r="D27" s="955" t="s">
        <v>406</v>
      </c>
      <c r="E27" s="956"/>
      <c r="F27" s="956"/>
      <c r="G27" s="956"/>
      <c r="H27" s="956"/>
      <c r="I27" s="956"/>
      <c r="J27" s="956"/>
      <c r="K27" s="956"/>
      <c r="L27" s="956"/>
      <c r="M27" s="956"/>
      <c r="N27" s="956"/>
      <c r="O27" s="956"/>
      <c r="P27" s="956"/>
      <c r="Q27" s="956"/>
      <c r="R27" s="956"/>
      <c r="S27" s="956"/>
      <c r="T27" s="956"/>
      <c r="U27" s="956"/>
      <c r="V27" s="956"/>
      <c r="W27" s="956"/>
      <c r="X27" s="956"/>
    </row>
    <row r="28" spans="1:24" ht="15.75">
      <c r="A28" s="165"/>
      <c r="B28" s="165"/>
      <c r="C28" s="167"/>
      <c r="D28" s="956"/>
      <c r="E28" s="956"/>
      <c r="F28" s="956"/>
      <c r="G28" s="956"/>
      <c r="H28" s="956"/>
      <c r="I28" s="956"/>
      <c r="J28" s="956"/>
      <c r="K28" s="956"/>
      <c r="L28" s="956"/>
      <c r="M28" s="956"/>
      <c r="N28" s="956"/>
      <c r="O28" s="956"/>
      <c r="P28" s="956"/>
      <c r="Q28" s="956"/>
      <c r="R28" s="956"/>
      <c r="S28" s="956"/>
      <c r="T28" s="956"/>
      <c r="U28" s="956"/>
      <c r="V28" s="956"/>
      <c r="W28" s="956"/>
      <c r="X28" s="956"/>
    </row>
    <row r="29" spans="1:24" ht="15.75">
      <c r="A29" s="165"/>
      <c r="B29" s="165"/>
      <c r="C29" s="167"/>
      <c r="D29" s="151" t="s">
        <v>329</v>
      </c>
      <c r="E29" s="140">
        <v>1</v>
      </c>
      <c r="F29" s="140">
        <v>2</v>
      </c>
      <c r="G29" s="140">
        <v>3</v>
      </c>
      <c r="H29" s="140">
        <v>4</v>
      </c>
      <c r="I29" s="140">
        <v>5</v>
      </c>
      <c r="J29" s="140">
        <v>6</v>
      </c>
      <c r="K29" s="140">
        <v>7</v>
      </c>
      <c r="L29" s="140">
        <v>8</v>
      </c>
      <c r="M29" s="140">
        <v>9</v>
      </c>
      <c r="N29" s="140">
        <v>10</v>
      </c>
      <c r="O29" s="140">
        <v>11</v>
      </c>
      <c r="P29" s="140">
        <v>12</v>
      </c>
      <c r="Q29" s="140">
        <v>13</v>
      </c>
      <c r="R29" s="140">
        <v>14</v>
      </c>
      <c r="S29" s="140">
        <v>15</v>
      </c>
      <c r="T29" s="140">
        <v>16</v>
      </c>
      <c r="U29" s="140">
        <v>17</v>
      </c>
      <c r="V29" s="140">
        <v>18</v>
      </c>
      <c r="W29" s="141" t="s">
        <v>310</v>
      </c>
      <c r="X29" s="142"/>
    </row>
    <row r="30" spans="1:24" ht="16.5" thickBot="1">
      <c r="A30" s="168"/>
      <c r="B30" s="168"/>
      <c r="C30" s="169"/>
      <c r="D30" s="155" t="s">
        <v>331</v>
      </c>
      <c r="E30" s="170">
        <v>0.75</v>
      </c>
      <c r="F30" s="170">
        <v>0.25</v>
      </c>
      <c r="G30" s="170">
        <v>3</v>
      </c>
      <c r="H30" s="170">
        <v>2</v>
      </c>
      <c r="I30" s="170">
        <v>0.75</v>
      </c>
      <c r="J30" s="170">
        <v>-3</v>
      </c>
      <c r="K30" s="170">
        <v>-4</v>
      </c>
      <c r="L30" s="170">
        <v>20</v>
      </c>
      <c r="M30" s="170">
        <v>10</v>
      </c>
      <c r="N30" s="170">
        <v>5</v>
      </c>
      <c r="O30" s="170">
        <v>3</v>
      </c>
      <c r="P30" s="170">
        <v>5</v>
      </c>
      <c r="Q30" s="170">
        <v>7</v>
      </c>
      <c r="R30" s="170">
        <v>3</v>
      </c>
      <c r="S30" s="170">
        <v>3</v>
      </c>
      <c r="T30" s="170">
        <v>3</v>
      </c>
      <c r="U30" s="170">
        <v>8.25</v>
      </c>
      <c r="V30" s="170">
        <v>16</v>
      </c>
      <c r="W30" s="156" t="s">
        <v>330</v>
      </c>
      <c r="X30" s="157" t="s">
        <v>310</v>
      </c>
    </row>
    <row r="31" spans="1:24" ht="19.5">
      <c r="A31" s="164">
        <v>1</v>
      </c>
      <c r="B31" s="181">
        <v>5</v>
      </c>
      <c r="C31" s="171" t="s">
        <v>333</v>
      </c>
      <c r="D31" s="244">
        <v>55.25</v>
      </c>
      <c r="E31" s="144">
        <v>6.75</v>
      </c>
      <c r="F31" s="144">
        <v>4.25</v>
      </c>
      <c r="G31" s="144">
        <v>0</v>
      </c>
      <c r="H31" s="144">
        <v>0</v>
      </c>
      <c r="I31" s="144">
        <v>0.75</v>
      </c>
      <c r="J31" s="144">
        <v>0</v>
      </c>
      <c r="K31" s="144">
        <v>0</v>
      </c>
      <c r="L31" s="144">
        <v>0</v>
      </c>
      <c r="M31" s="144">
        <v>0</v>
      </c>
      <c r="N31" s="144">
        <v>0</v>
      </c>
      <c r="O31" s="144">
        <v>0</v>
      </c>
      <c r="P31" s="144">
        <v>0</v>
      </c>
      <c r="Q31" s="144">
        <v>7</v>
      </c>
      <c r="R31" s="144">
        <v>0</v>
      </c>
      <c r="S31" s="144">
        <v>0</v>
      </c>
      <c r="T31" s="144">
        <v>0</v>
      </c>
      <c r="U31" s="144">
        <v>0</v>
      </c>
      <c r="V31" s="144">
        <v>0</v>
      </c>
      <c r="W31" s="144">
        <f>SUM(E31:V31)</f>
        <v>18.75</v>
      </c>
      <c r="X31" s="145">
        <v>3</v>
      </c>
    </row>
    <row r="32" spans="1:24" ht="19.5">
      <c r="A32" s="150">
        <v>2</v>
      </c>
      <c r="B32" s="237">
        <v>6</v>
      </c>
      <c r="C32" s="176" t="s">
        <v>8</v>
      </c>
      <c r="D32" s="244">
        <v>50</v>
      </c>
      <c r="E32" s="144">
        <v>1.5</v>
      </c>
      <c r="F32" s="144">
        <v>1</v>
      </c>
      <c r="G32" s="144">
        <v>0</v>
      </c>
      <c r="H32" s="144">
        <v>0</v>
      </c>
      <c r="I32" s="144">
        <v>0</v>
      </c>
      <c r="J32" s="144">
        <v>0</v>
      </c>
      <c r="K32" s="144">
        <v>0</v>
      </c>
      <c r="L32" s="144">
        <v>0</v>
      </c>
      <c r="M32" s="144">
        <v>0</v>
      </c>
      <c r="N32" s="144">
        <v>0</v>
      </c>
      <c r="O32" s="144">
        <v>0</v>
      </c>
      <c r="P32" s="144">
        <v>5</v>
      </c>
      <c r="Q32" s="144">
        <v>0</v>
      </c>
      <c r="R32" s="144">
        <v>0</v>
      </c>
      <c r="S32" s="144">
        <v>0</v>
      </c>
      <c r="T32" s="144">
        <v>3</v>
      </c>
      <c r="U32" s="144">
        <v>0</v>
      </c>
      <c r="V32" s="144">
        <v>0</v>
      </c>
      <c r="W32" s="144">
        <f aca="true" t="shared" si="2" ref="W32:W39">SUM(E32:V32)</f>
        <v>10.5</v>
      </c>
      <c r="X32" s="145">
        <v>3</v>
      </c>
    </row>
    <row r="33" spans="1:24" ht="19.5">
      <c r="A33" s="164">
        <v>3</v>
      </c>
      <c r="B33" s="179">
        <v>4</v>
      </c>
      <c r="C33" s="175" t="s">
        <v>12</v>
      </c>
      <c r="D33" s="244">
        <v>36.75</v>
      </c>
      <c r="E33" s="144">
        <v>1.5</v>
      </c>
      <c r="F33" s="144">
        <v>2</v>
      </c>
      <c r="G33" s="144">
        <v>0</v>
      </c>
      <c r="H33" s="144">
        <v>2</v>
      </c>
      <c r="I33" s="144">
        <v>0</v>
      </c>
      <c r="J33" s="144">
        <v>0</v>
      </c>
      <c r="K33" s="144">
        <v>0</v>
      </c>
      <c r="L33" s="144">
        <v>0</v>
      </c>
      <c r="M33" s="144">
        <v>0</v>
      </c>
      <c r="N33" s="144">
        <v>0</v>
      </c>
      <c r="O33" s="144">
        <v>3</v>
      </c>
      <c r="P33" s="144">
        <v>0</v>
      </c>
      <c r="Q33" s="144">
        <v>0</v>
      </c>
      <c r="R33" s="144">
        <v>3</v>
      </c>
      <c r="S33" s="144">
        <v>3</v>
      </c>
      <c r="T33" s="144">
        <v>0</v>
      </c>
      <c r="U33" s="144">
        <v>0</v>
      </c>
      <c r="V33" s="144">
        <v>0</v>
      </c>
      <c r="W33" s="144">
        <f t="shared" si="2"/>
        <v>14.5</v>
      </c>
      <c r="X33" s="145">
        <v>3</v>
      </c>
    </row>
    <row r="34" spans="1:24" ht="19.5">
      <c r="A34" s="150">
        <v>4</v>
      </c>
      <c r="B34" s="184">
        <v>4</v>
      </c>
      <c r="C34" s="176" t="s">
        <v>53</v>
      </c>
      <c r="D34" s="244">
        <v>13.75</v>
      </c>
      <c r="E34" s="144">
        <v>3</v>
      </c>
      <c r="F34" s="144">
        <v>0.25</v>
      </c>
      <c r="G34" s="144">
        <v>0</v>
      </c>
      <c r="H34" s="144">
        <v>0</v>
      </c>
      <c r="I34" s="144">
        <v>0</v>
      </c>
      <c r="J34" s="144">
        <v>0</v>
      </c>
      <c r="K34" s="144">
        <v>0</v>
      </c>
      <c r="L34" s="144">
        <v>0</v>
      </c>
      <c r="M34" s="144">
        <v>0</v>
      </c>
      <c r="N34" s="144">
        <v>0</v>
      </c>
      <c r="O34" s="144">
        <v>0</v>
      </c>
      <c r="P34" s="144">
        <v>0</v>
      </c>
      <c r="Q34" s="144">
        <v>0</v>
      </c>
      <c r="R34" s="144">
        <v>0</v>
      </c>
      <c r="S34" s="144">
        <v>0</v>
      </c>
      <c r="T34" s="144">
        <v>0</v>
      </c>
      <c r="U34" s="144">
        <v>0</v>
      </c>
      <c r="V34" s="144">
        <v>0</v>
      </c>
      <c r="W34" s="144">
        <f t="shared" si="2"/>
        <v>3.25</v>
      </c>
      <c r="X34" s="145">
        <v>3</v>
      </c>
    </row>
    <row r="35" spans="1:24" ht="19.5">
      <c r="A35" s="164">
        <v>5</v>
      </c>
      <c r="B35" s="179">
        <v>4</v>
      </c>
      <c r="C35" s="177" t="s">
        <v>10</v>
      </c>
      <c r="D35" s="244">
        <v>11.5</v>
      </c>
      <c r="E35" s="234">
        <v>0.75</v>
      </c>
      <c r="F35" s="234">
        <v>1</v>
      </c>
      <c r="G35" s="234">
        <v>0</v>
      </c>
      <c r="H35" s="234">
        <v>2</v>
      </c>
      <c r="I35" s="234">
        <v>0</v>
      </c>
      <c r="J35" s="234">
        <v>0</v>
      </c>
      <c r="K35" s="234">
        <v>0</v>
      </c>
      <c r="L35" s="234">
        <v>0</v>
      </c>
      <c r="M35" s="234">
        <v>0</v>
      </c>
      <c r="N35" s="234">
        <v>0</v>
      </c>
      <c r="O35" s="234">
        <v>0</v>
      </c>
      <c r="P35" s="234">
        <v>0</v>
      </c>
      <c r="Q35" s="234">
        <v>0</v>
      </c>
      <c r="R35" s="234">
        <v>0</v>
      </c>
      <c r="S35" s="234">
        <v>0</v>
      </c>
      <c r="T35" s="234">
        <v>0</v>
      </c>
      <c r="U35" s="234">
        <v>0</v>
      </c>
      <c r="V35" s="234">
        <v>0</v>
      </c>
      <c r="W35" s="144">
        <f t="shared" si="2"/>
        <v>3.75</v>
      </c>
      <c r="X35" s="145">
        <v>3</v>
      </c>
    </row>
    <row r="36" spans="1:24" ht="19.5">
      <c r="A36" s="165">
        <v>6</v>
      </c>
      <c r="B36" s="184">
        <v>4</v>
      </c>
      <c r="C36" s="176" t="s">
        <v>52</v>
      </c>
      <c r="D36" s="244">
        <v>8</v>
      </c>
      <c r="E36" s="144">
        <v>1.5</v>
      </c>
      <c r="F36" s="144">
        <v>0.25</v>
      </c>
      <c r="G36" s="144">
        <v>3</v>
      </c>
      <c r="H36" s="144">
        <v>0</v>
      </c>
      <c r="I36" s="144">
        <v>0</v>
      </c>
      <c r="J36" s="144">
        <v>0</v>
      </c>
      <c r="K36" s="144">
        <v>0</v>
      </c>
      <c r="L36" s="144">
        <v>0</v>
      </c>
      <c r="M36" s="144">
        <v>0</v>
      </c>
      <c r="N36" s="144">
        <v>0</v>
      </c>
      <c r="O36" s="144">
        <v>0</v>
      </c>
      <c r="P36" s="144">
        <v>0</v>
      </c>
      <c r="Q36" s="144">
        <v>0</v>
      </c>
      <c r="R36" s="144">
        <v>0</v>
      </c>
      <c r="S36" s="144">
        <v>0</v>
      </c>
      <c r="T36" s="144">
        <v>0</v>
      </c>
      <c r="U36" s="144">
        <v>0</v>
      </c>
      <c r="V36" s="144">
        <v>0</v>
      </c>
      <c r="W36" s="144">
        <f t="shared" si="2"/>
        <v>4.75</v>
      </c>
      <c r="X36" s="145">
        <v>3</v>
      </c>
    </row>
    <row r="37" spans="1:24" ht="19.5">
      <c r="A37" s="164">
        <v>7</v>
      </c>
      <c r="B37" s="181">
        <v>5</v>
      </c>
      <c r="C37" s="175" t="s">
        <v>332</v>
      </c>
      <c r="D37" s="244">
        <v>3.25</v>
      </c>
      <c r="E37" s="144">
        <v>0</v>
      </c>
      <c r="F37" s="144">
        <v>0.75</v>
      </c>
      <c r="G37" s="144">
        <v>0</v>
      </c>
      <c r="H37" s="144">
        <v>2</v>
      </c>
      <c r="I37" s="144">
        <v>0</v>
      </c>
      <c r="J37" s="144">
        <v>0</v>
      </c>
      <c r="K37" s="144">
        <v>0</v>
      </c>
      <c r="L37" s="144">
        <v>0</v>
      </c>
      <c r="M37" s="144">
        <v>0</v>
      </c>
      <c r="N37" s="144">
        <v>0</v>
      </c>
      <c r="O37" s="144">
        <v>0</v>
      </c>
      <c r="P37" s="144">
        <v>0</v>
      </c>
      <c r="Q37" s="144">
        <v>0</v>
      </c>
      <c r="R37" s="144">
        <v>0</v>
      </c>
      <c r="S37" s="144">
        <v>0</v>
      </c>
      <c r="T37" s="144">
        <v>0</v>
      </c>
      <c r="U37" s="144">
        <v>0</v>
      </c>
      <c r="V37" s="144">
        <v>0</v>
      </c>
      <c r="W37" s="144">
        <f t="shared" si="2"/>
        <v>2.75</v>
      </c>
      <c r="X37" s="145">
        <v>3</v>
      </c>
    </row>
    <row r="38" spans="1:24" ht="19.5">
      <c r="A38" s="238">
        <v>8</v>
      </c>
      <c r="B38" s="237">
        <v>6</v>
      </c>
      <c r="C38" s="239" t="s">
        <v>121</v>
      </c>
      <c r="D38" s="244">
        <v>2.25</v>
      </c>
      <c r="E38" s="146">
        <v>0.75</v>
      </c>
      <c r="F38" s="146">
        <v>0</v>
      </c>
      <c r="G38" s="146">
        <v>0</v>
      </c>
      <c r="H38" s="146">
        <v>0</v>
      </c>
      <c r="I38" s="146">
        <v>0</v>
      </c>
      <c r="J38" s="146">
        <v>0</v>
      </c>
      <c r="K38" s="146">
        <v>0</v>
      </c>
      <c r="L38" s="146">
        <v>0</v>
      </c>
      <c r="M38" s="146">
        <v>0</v>
      </c>
      <c r="N38" s="146">
        <v>0</v>
      </c>
      <c r="O38" s="146">
        <v>0</v>
      </c>
      <c r="P38" s="146">
        <v>0</v>
      </c>
      <c r="Q38" s="146">
        <v>0</v>
      </c>
      <c r="R38" s="146">
        <v>0</v>
      </c>
      <c r="S38" s="146">
        <v>0</v>
      </c>
      <c r="T38" s="146">
        <v>0</v>
      </c>
      <c r="U38" s="146">
        <v>0</v>
      </c>
      <c r="V38" s="146">
        <v>0</v>
      </c>
      <c r="W38" s="144">
        <f t="shared" si="2"/>
        <v>0.75</v>
      </c>
      <c r="X38" s="240">
        <v>3</v>
      </c>
    </row>
    <row r="39" spans="1:24" ht="20.25" thickBot="1">
      <c r="A39" s="245">
        <v>9</v>
      </c>
      <c r="B39" s="235"/>
      <c r="C39" s="236" t="s">
        <v>370</v>
      </c>
      <c r="D39" s="246">
        <v>2.25</v>
      </c>
      <c r="E39" s="247">
        <v>0</v>
      </c>
      <c r="F39" s="247">
        <v>0.25</v>
      </c>
      <c r="G39" s="247">
        <v>0</v>
      </c>
      <c r="H39" s="247">
        <v>2</v>
      </c>
      <c r="I39" s="247">
        <v>0</v>
      </c>
      <c r="J39" s="247">
        <v>0</v>
      </c>
      <c r="K39" s="247">
        <v>0</v>
      </c>
      <c r="L39" s="247">
        <v>0</v>
      </c>
      <c r="M39" s="247">
        <v>0</v>
      </c>
      <c r="N39" s="247">
        <v>0</v>
      </c>
      <c r="O39" s="247">
        <v>0</v>
      </c>
      <c r="P39" s="247">
        <v>0</v>
      </c>
      <c r="Q39" s="247">
        <v>0</v>
      </c>
      <c r="R39" s="247">
        <v>0</v>
      </c>
      <c r="S39" s="247">
        <v>0</v>
      </c>
      <c r="T39" s="247">
        <v>0</v>
      </c>
      <c r="U39" s="247">
        <v>0</v>
      </c>
      <c r="V39" s="247">
        <v>0</v>
      </c>
      <c r="W39" s="160">
        <f t="shared" si="2"/>
        <v>2.25</v>
      </c>
      <c r="X39" s="248">
        <v>3</v>
      </c>
    </row>
    <row r="40" spans="1:24" ht="15.75">
      <c r="A40" s="238"/>
      <c r="B40" s="238"/>
      <c r="C40" s="241"/>
      <c r="D40" s="242"/>
      <c r="E40" s="243"/>
      <c r="F40" s="243"/>
      <c r="G40" s="243"/>
      <c r="H40" s="243"/>
      <c r="I40" s="243"/>
      <c r="J40" s="243"/>
      <c r="K40" s="243"/>
      <c r="L40" s="243"/>
      <c r="M40" s="243"/>
      <c r="N40" s="243"/>
      <c r="O40" s="243"/>
      <c r="P40" s="243"/>
      <c r="Q40" s="243"/>
      <c r="R40" s="243"/>
      <c r="S40" s="243"/>
      <c r="T40" s="243"/>
      <c r="U40" s="243"/>
      <c r="V40" s="243"/>
      <c r="W40" s="243"/>
      <c r="X40" s="243"/>
    </row>
    <row r="41" spans="1:24" ht="15.75">
      <c r="A41" s="165"/>
      <c r="B41" s="165"/>
      <c r="C41" s="167"/>
      <c r="D41" s="955" t="s">
        <v>538</v>
      </c>
      <c r="E41" s="956"/>
      <c r="F41" s="956"/>
      <c r="G41" s="956"/>
      <c r="H41" s="956"/>
      <c r="I41" s="956"/>
      <c r="J41" s="956"/>
      <c r="K41" s="956"/>
      <c r="L41" s="956"/>
      <c r="M41" s="956"/>
      <c r="N41" s="956"/>
      <c r="O41" s="956"/>
      <c r="P41" s="956"/>
      <c r="Q41" s="956"/>
      <c r="R41" s="956"/>
      <c r="S41" s="956"/>
      <c r="T41" s="956"/>
      <c r="U41" s="956"/>
      <c r="V41" s="956"/>
      <c r="W41" s="956"/>
      <c r="X41" s="956"/>
    </row>
    <row r="42" spans="1:24" ht="15.75">
      <c r="A42" s="165"/>
      <c r="B42" s="165"/>
      <c r="C42" s="167"/>
      <c r="D42" s="956"/>
      <c r="E42" s="956"/>
      <c r="F42" s="956"/>
      <c r="G42" s="956"/>
      <c r="H42" s="956"/>
      <c r="I42" s="956"/>
      <c r="J42" s="956"/>
      <c r="K42" s="956"/>
      <c r="L42" s="956"/>
      <c r="M42" s="956"/>
      <c r="N42" s="956"/>
      <c r="O42" s="956"/>
      <c r="P42" s="956"/>
      <c r="Q42" s="956"/>
      <c r="R42" s="956"/>
      <c r="S42" s="956"/>
      <c r="T42" s="956"/>
      <c r="U42" s="956"/>
      <c r="V42" s="956"/>
      <c r="W42" s="956"/>
      <c r="X42" s="956"/>
    </row>
    <row r="43" spans="1:24" ht="15.75">
      <c r="A43" s="165"/>
      <c r="B43" s="165"/>
      <c r="C43" s="167"/>
      <c r="D43" s="151" t="s">
        <v>329</v>
      </c>
      <c r="E43" s="140">
        <v>1</v>
      </c>
      <c r="F43" s="140">
        <v>2</v>
      </c>
      <c r="G43" s="140">
        <v>3</v>
      </c>
      <c r="H43" s="140">
        <v>4</v>
      </c>
      <c r="I43" s="140">
        <v>5</v>
      </c>
      <c r="J43" s="140">
        <v>6</v>
      </c>
      <c r="K43" s="140">
        <v>7</v>
      </c>
      <c r="L43" s="140">
        <v>8</v>
      </c>
      <c r="M43" s="140">
        <v>9</v>
      </c>
      <c r="N43" s="140">
        <v>10</v>
      </c>
      <c r="O43" s="140">
        <v>11</v>
      </c>
      <c r="P43" s="140">
        <v>12</v>
      </c>
      <c r="Q43" s="140">
        <v>13</v>
      </c>
      <c r="R43" s="140">
        <v>14</v>
      </c>
      <c r="S43" s="140">
        <v>15</v>
      </c>
      <c r="T43" s="140">
        <v>16</v>
      </c>
      <c r="U43" s="140">
        <v>17</v>
      </c>
      <c r="V43" s="140">
        <v>18</v>
      </c>
      <c r="W43" s="141" t="s">
        <v>310</v>
      </c>
      <c r="X43" s="142"/>
    </row>
    <row r="44" spans="1:24" ht="16.5" thickBot="1">
      <c r="A44" s="168"/>
      <c r="B44" s="168"/>
      <c r="C44" s="169"/>
      <c r="D44" s="155" t="s">
        <v>331</v>
      </c>
      <c r="E44" s="170">
        <v>0.75</v>
      </c>
      <c r="F44" s="170">
        <v>0.25</v>
      </c>
      <c r="G44" s="170">
        <v>3</v>
      </c>
      <c r="H44" s="170">
        <v>2</v>
      </c>
      <c r="I44" s="170">
        <v>0.75</v>
      </c>
      <c r="J44" s="170">
        <v>-3</v>
      </c>
      <c r="K44" s="170">
        <v>-4</v>
      </c>
      <c r="L44" s="170">
        <v>20</v>
      </c>
      <c r="M44" s="170">
        <v>10</v>
      </c>
      <c r="N44" s="170">
        <v>5</v>
      </c>
      <c r="O44" s="170">
        <v>3</v>
      </c>
      <c r="P44" s="170">
        <v>5</v>
      </c>
      <c r="Q44" s="170">
        <v>7</v>
      </c>
      <c r="R44" s="170">
        <v>3</v>
      </c>
      <c r="S44" s="170">
        <v>3</v>
      </c>
      <c r="T44" s="170">
        <v>3</v>
      </c>
      <c r="U44" s="170">
        <v>8.25</v>
      </c>
      <c r="V44" s="170">
        <v>16</v>
      </c>
      <c r="W44" s="156" t="s">
        <v>330</v>
      </c>
      <c r="X44" s="157" t="s">
        <v>310</v>
      </c>
    </row>
    <row r="45" spans="1:24" ht="19.5">
      <c r="A45" s="164">
        <v>1</v>
      </c>
      <c r="B45" s="179">
        <v>4</v>
      </c>
      <c r="C45" s="171" t="s">
        <v>333</v>
      </c>
      <c r="D45" s="244">
        <v>68</v>
      </c>
      <c r="E45" s="144">
        <v>3.75</v>
      </c>
      <c r="F45" s="144">
        <v>6.25</v>
      </c>
      <c r="G45" s="144">
        <v>0</v>
      </c>
      <c r="H45" s="144">
        <v>2</v>
      </c>
      <c r="I45" s="144">
        <v>0.75</v>
      </c>
      <c r="J45" s="144">
        <v>0</v>
      </c>
      <c r="K45" s="144">
        <v>0</v>
      </c>
      <c r="L45" s="144">
        <v>0</v>
      </c>
      <c r="M45" s="144">
        <v>0</v>
      </c>
      <c r="N45" s="144">
        <v>0</v>
      </c>
      <c r="O45" s="144">
        <v>0</v>
      </c>
      <c r="P45" s="144">
        <v>0</v>
      </c>
      <c r="Q45" s="144">
        <v>0</v>
      </c>
      <c r="R45" s="144">
        <v>0</v>
      </c>
      <c r="S45" s="144">
        <v>0</v>
      </c>
      <c r="T45" s="144">
        <v>0</v>
      </c>
      <c r="U45" s="144">
        <v>0</v>
      </c>
      <c r="V45" s="144">
        <v>0</v>
      </c>
      <c r="W45" s="144">
        <f>SUM(E45:V45)</f>
        <v>12.75</v>
      </c>
      <c r="X45" s="145">
        <v>4</v>
      </c>
    </row>
    <row r="46" spans="1:24" ht="19.5">
      <c r="A46" s="150">
        <v>2</v>
      </c>
      <c r="B46" s="184">
        <v>4</v>
      </c>
      <c r="C46" s="176" t="s">
        <v>8</v>
      </c>
      <c r="D46" s="244">
        <v>62.75</v>
      </c>
      <c r="E46" s="144">
        <v>1.5</v>
      </c>
      <c r="F46" s="144">
        <v>1.25</v>
      </c>
      <c r="G46" s="144">
        <v>0</v>
      </c>
      <c r="H46" s="144">
        <v>0</v>
      </c>
      <c r="I46" s="144">
        <v>0</v>
      </c>
      <c r="J46" s="144">
        <v>0</v>
      </c>
      <c r="K46" s="144">
        <v>0</v>
      </c>
      <c r="L46" s="144">
        <v>0</v>
      </c>
      <c r="M46" s="144">
        <v>0</v>
      </c>
      <c r="N46" s="144">
        <v>0</v>
      </c>
      <c r="O46" s="144">
        <v>0</v>
      </c>
      <c r="P46" s="144">
        <v>7</v>
      </c>
      <c r="Q46" s="144">
        <v>0</v>
      </c>
      <c r="R46" s="144">
        <v>0</v>
      </c>
      <c r="S46" s="144">
        <v>0</v>
      </c>
      <c r="T46" s="144">
        <v>3</v>
      </c>
      <c r="U46" s="144">
        <v>0</v>
      </c>
      <c r="V46" s="144">
        <v>0</v>
      </c>
      <c r="W46" s="144">
        <f aca="true" t="shared" si="3" ref="W46:W53">SUM(E46:V46)</f>
        <v>12.75</v>
      </c>
      <c r="X46" s="145">
        <v>4</v>
      </c>
    </row>
    <row r="47" spans="1:24" ht="19.5">
      <c r="A47" s="164">
        <v>3</v>
      </c>
      <c r="B47" s="179">
        <v>4</v>
      </c>
      <c r="C47" s="175" t="s">
        <v>12</v>
      </c>
      <c r="D47" s="244">
        <v>54.75</v>
      </c>
      <c r="E47" s="144">
        <v>1.5</v>
      </c>
      <c r="F47" s="144">
        <v>1.5</v>
      </c>
      <c r="G47" s="144">
        <v>0</v>
      </c>
      <c r="H47" s="144">
        <v>2</v>
      </c>
      <c r="I47" s="144">
        <v>0</v>
      </c>
      <c r="J47" s="144">
        <v>0</v>
      </c>
      <c r="K47" s="144">
        <v>0</v>
      </c>
      <c r="L47" s="144">
        <v>0</v>
      </c>
      <c r="M47" s="144">
        <v>0</v>
      </c>
      <c r="N47" s="144">
        <v>0</v>
      </c>
      <c r="O47" s="144">
        <v>3</v>
      </c>
      <c r="P47" s="144">
        <v>0</v>
      </c>
      <c r="Q47" s="144">
        <v>7</v>
      </c>
      <c r="R47" s="144">
        <v>3</v>
      </c>
      <c r="S47" s="144">
        <v>0</v>
      </c>
      <c r="T47" s="144">
        <v>0</v>
      </c>
      <c r="U47" s="144">
        <v>0</v>
      </c>
      <c r="V47" s="144">
        <v>0</v>
      </c>
      <c r="W47" s="144">
        <f t="shared" si="3"/>
        <v>18</v>
      </c>
      <c r="X47" s="145">
        <v>4</v>
      </c>
    </row>
    <row r="48" spans="1:24" ht="19.5">
      <c r="A48" s="389">
        <v>4</v>
      </c>
      <c r="B48" s="182">
        <v>5</v>
      </c>
      <c r="C48" s="390" t="s">
        <v>10</v>
      </c>
      <c r="D48" s="244">
        <v>18.5</v>
      </c>
      <c r="E48" s="234">
        <v>0.75</v>
      </c>
      <c r="F48" s="234">
        <v>1.25</v>
      </c>
      <c r="G48" s="234">
        <v>0</v>
      </c>
      <c r="H48" s="234">
        <v>2</v>
      </c>
      <c r="I48" s="234">
        <v>0</v>
      </c>
      <c r="J48" s="234">
        <v>0</v>
      </c>
      <c r="K48" s="234">
        <v>0</v>
      </c>
      <c r="L48" s="234">
        <v>0</v>
      </c>
      <c r="M48" s="234">
        <v>0</v>
      </c>
      <c r="N48" s="234">
        <v>0</v>
      </c>
      <c r="O48" s="234">
        <v>0</v>
      </c>
      <c r="P48" s="234">
        <v>0</v>
      </c>
      <c r="Q48" s="234">
        <v>0</v>
      </c>
      <c r="R48" s="234">
        <v>0</v>
      </c>
      <c r="S48" s="234">
        <v>3</v>
      </c>
      <c r="T48" s="234">
        <v>0</v>
      </c>
      <c r="U48" s="234">
        <v>0</v>
      </c>
      <c r="V48" s="234">
        <v>0</v>
      </c>
      <c r="W48" s="144">
        <f>SUM(E48:V48)</f>
        <v>7</v>
      </c>
      <c r="X48" s="145">
        <v>4</v>
      </c>
    </row>
    <row r="49" spans="1:24" ht="19.5">
      <c r="A49" s="164">
        <v>5</v>
      </c>
      <c r="B49" s="183">
        <v>6</v>
      </c>
      <c r="C49" s="175" t="s">
        <v>53</v>
      </c>
      <c r="D49" s="244">
        <v>17</v>
      </c>
      <c r="E49" s="144">
        <v>3</v>
      </c>
      <c r="F49" s="144">
        <v>0.25</v>
      </c>
      <c r="G49" s="144">
        <v>0</v>
      </c>
      <c r="H49" s="144">
        <v>0</v>
      </c>
      <c r="I49" s="144">
        <v>0</v>
      </c>
      <c r="J49" s="144">
        <v>0</v>
      </c>
      <c r="K49" s="144">
        <v>0</v>
      </c>
      <c r="L49" s="144">
        <v>0</v>
      </c>
      <c r="M49" s="144">
        <v>0</v>
      </c>
      <c r="N49" s="144">
        <v>0</v>
      </c>
      <c r="O49" s="144">
        <v>0</v>
      </c>
      <c r="P49" s="144">
        <v>0</v>
      </c>
      <c r="Q49" s="144">
        <v>0</v>
      </c>
      <c r="R49" s="144">
        <v>0</v>
      </c>
      <c r="S49" s="144">
        <v>0</v>
      </c>
      <c r="T49" s="144">
        <v>0</v>
      </c>
      <c r="U49" s="144">
        <v>0</v>
      </c>
      <c r="V49" s="144">
        <v>0</v>
      </c>
      <c r="W49" s="144">
        <f t="shared" si="3"/>
        <v>3.25</v>
      </c>
      <c r="X49" s="145">
        <v>4</v>
      </c>
    </row>
    <row r="50" spans="1:24" ht="19.5">
      <c r="A50" s="165">
        <v>6</v>
      </c>
      <c r="B50" s="184">
        <v>4</v>
      </c>
      <c r="C50" s="176" t="s">
        <v>52</v>
      </c>
      <c r="D50" s="244">
        <v>8.75</v>
      </c>
      <c r="E50" s="144">
        <v>0.75</v>
      </c>
      <c r="F50" s="144">
        <v>0</v>
      </c>
      <c r="G50" s="144">
        <v>0</v>
      </c>
      <c r="H50" s="144">
        <v>0</v>
      </c>
      <c r="I50" s="144">
        <v>0</v>
      </c>
      <c r="J50" s="144">
        <v>0</v>
      </c>
      <c r="K50" s="144">
        <v>0</v>
      </c>
      <c r="L50" s="144">
        <v>0</v>
      </c>
      <c r="M50" s="144">
        <v>0</v>
      </c>
      <c r="N50" s="144">
        <v>0</v>
      </c>
      <c r="O50" s="144">
        <v>0</v>
      </c>
      <c r="P50" s="144">
        <v>0</v>
      </c>
      <c r="Q50" s="144">
        <v>0</v>
      </c>
      <c r="R50" s="144">
        <v>0</v>
      </c>
      <c r="S50" s="144">
        <v>0</v>
      </c>
      <c r="T50" s="144">
        <v>0</v>
      </c>
      <c r="U50" s="144">
        <v>0</v>
      </c>
      <c r="V50" s="144">
        <v>0</v>
      </c>
      <c r="W50" s="144">
        <f t="shared" si="3"/>
        <v>0.75</v>
      </c>
      <c r="X50" s="145">
        <v>4</v>
      </c>
    </row>
    <row r="51" spans="1:24" ht="19.5">
      <c r="A51" s="164">
        <v>7</v>
      </c>
      <c r="B51" s="179">
        <v>4</v>
      </c>
      <c r="C51" s="175" t="s">
        <v>332</v>
      </c>
      <c r="D51" s="244">
        <v>3.75</v>
      </c>
      <c r="E51" s="144">
        <v>0</v>
      </c>
      <c r="F51" s="144">
        <v>0.5</v>
      </c>
      <c r="G51" s="144">
        <v>0</v>
      </c>
      <c r="H51" s="144">
        <v>0</v>
      </c>
      <c r="I51" s="144">
        <v>0</v>
      </c>
      <c r="J51" s="144">
        <v>0</v>
      </c>
      <c r="K51" s="144">
        <v>0</v>
      </c>
      <c r="L51" s="144">
        <v>0</v>
      </c>
      <c r="M51" s="144">
        <v>0</v>
      </c>
      <c r="N51" s="144">
        <v>0</v>
      </c>
      <c r="O51" s="144">
        <v>0</v>
      </c>
      <c r="P51" s="144">
        <v>0</v>
      </c>
      <c r="Q51" s="144">
        <v>0</v>
      </c>
      <c r="R51" s="144">
        <v>0</v>
      </c>
      <c r="S51" s="144">
        <v>0</v>
      </c>
      <c r="T51" s="144">
        <v>0</v>
      </c>
      <c r="U51" s="144">
        <v>0</v>
      </c>
      <c r="V51" s="144">
        <v>0</v>
      </c>
      <c r="W51" s="144">
        <f t="shared" si="3"/>
        <v>0.5</v>
      </c>
      <c r="X51" s="145">
        <v>4</v>
      </c>
    </row>
    <row r="52" spans="1:24" ht="19.5">
      <c r="A52" s="300">
        <v>8</v>
      </c>
      <c r="B52" s="184">
        <v>4</v>
      </c>
      <c r="C52" s="239" t="s">
        <v>370</v>
      </c>
      <c r="D52" s="301">
        <v>2.5</v>
      </c>
      <c r="E52" s="302">
        <v>0</v>
      </c>
      <c r="F52" s="302">
        <v>0.25</v>
      </c>
      <c r="G52" s="302">
        <v>0</v>
      </c>
      <c r="H52" s="302">
        <v>0</v>
      </c>
      <c r="I52" s="302">
        <v>0</v>
      </c>
      <c r="J52" s="302">
        <v>0</v>
      </c>
      <c r="K52" s="302">
        <v>0</v>
      </c>
      <c r="L52" s="302">
        <v>0</v>
      </c>
      <c r="M52" s="302">
        <v>0</v>
      </c>
      <c r="N52" s="302">
        <v>0</v>
      </c>
      <c r="O52" s="302">
        <v>0</v>
      </c>
      <c r="P52" s="302">
        <v>0</v>
      </c>
      <c r="Q52" s="302">
        <v>0</v>
      </c>
      <c r="R52" s="302">
        <v>0</v>
      </c>
      <c r="S52" s="302">
        <v>0</v>
      </c>
      <c r="T52" s="302">
        <v>0</v>
      </c>
      <c r="U52" s="302">
        <v>0</v>
      </c>
      <c r="V52" s="302">
        <v>0</v>
      </c>
      <c r="W52" s="146">
        <f>SUM(E52:V52)</f>
        <v>0.25</v>
      </c>
      <c r="X52" s="303">
        <v>4</v>
      </c>
    </row>
    <row r="53" spans="1:24" ht="20.25" thickBot="1">
      <c r="A53" s="245">
        <v>9</v>
      </c>
      <c r="B53" s="235">
        <v>4</v>
      </c>
      <c r="C53" s="236" t="s">
        <v>121</v>
      </c>
      <c r="D53" s="246">
        <v>2.25</v>
      </c>
      <c r="E53" s="160">
        <v>0</v>
      </c>
      <c r="F53" s="160">
        <v>0</v>
      </c>
      <c r="G53" s="160">
        <v>0</v>
      </c>
      <c r="H53" s="160">
        <v>0</v>
      </c>
      <c r="I53" s="160">
        <v>0</v>
      </c>
      <c r="J53" s="160">
        <v>0</v>
      </c>
      <c r="K53" s="160">
        <v>0</v>
      </c>
      <c r="L53" s="160">
        <v>0</v>
      </c>
      <c r="M53" s="160">
        <v>0</v>
      </c>
      <c r="N53" s="160">
        <v>0</v>
      </c>
      <c r="O53" s="160">
        <v>0</v>
      </c>
      <c r="P53" s="160">
        <v>0</v>
      </c>
      <c r="Q53" s="160">
        <v>0</v>
      </c>
      <c r="R53" s="160">
        <v>0</v>
      </c>
      <c r="S53" s="160">
        <v>0</v>
      </c>
      <c r="T53" s="160">
        <v>0</v>
      </c>
      <c r="U53" s="160">
        <v>0</v>
      </c>
      <c r="V53" s="160">
        <v>0</v>
      </c>
      <c r="W53" s="160">
        <f t="shared" si="3"/>
        <v>0</v>
      </c>
      <c r="X53" s="161">
        <v>4</v>
      </c>
    </row>
    <row r="54" ht="15.75"/>
    <row r="55" spans="1:24" ht="15.75">
      <c r="A55" s="165"/>
      <c r="B55" s="165"/>
      <c r="C55" s="167"/>
      <c r="D55" s="955" t="s">
        <v>624</v>
      </c>
      <c r="E55" s="956"/>
      <c r="F55" s="956"/>
      <c r="G55" s="956"/>
      <c r="H55" s="956"/>
      <c r="I55" s="956"/>
      <c r="J55" s="956"/>
      <c r="K55" s="956"/>
      <c r="L55" s="956"/>
      <c r="M55" s="956"/>
      <c r="N55" s="956"/>
      <c r="O55" s="956"/>
      <c r="P55" s="956"/>
      <c r="Q55" s="956"/>
      <c r="R55" s="956"/>
      <c r="S55" s="956"/>
      <c r="T55" s="956"/>
      <c r="U55" s="956"/>
      <c r="V55" s="956"/>
      <c r="W55" s="956"/>
      <c r="X55" s="956"/>
    </row>
    <row r="56" spans="1:24" ht="15.75">
      <c r="A56" s="165"/>
      <c r="B56" s="165"/>
      <c r="C56" s="167"/>
      <c r="D56" s="956"/>
      <c r="E56" s="956"/>
      <c r="F56" s="956"/>
      <c r="G56" s="956"/>
      <c r="H56" s="956"/>
      <c r="I56" s="956"/>
      <c r="J56" s="956"/>
      <c r="K56" s="956"/>
      <c r="L56" s="956"/>
      <c r="M56" s="956"/>
      <c r="N56" s="956"/>
      <c r="O56" s="956"/>
      <c r="P56" s="956"/>
      <c r="Q56" s="956"/>
      <c r="R56" s="956"/>
      <c r="S56" s="956"/>
      <c r="T56" s="956"/>
      <c r="U56" s="956"/>
      <c r="V56" s="956"/>
      <c r="W56" s="956"/>
      <c r="X56" s="956"/>
    </row>
    <row r="57" spans="1:24" ht="15.75">
      <c r="A57" s="165"/>
      <c r="B57" s="165"/>
      <c r="C57" s="167"/>
      <c r="D57" s="151" t="s">
        <v>329</v>
      </c>
      <c r="E57" s="140">
        <v>1</v>
      </c>
      <c r="F57" s="140">
        <v>2</v>
      </c>
      <c r="G57" s="140">
        <v>3</v>
      </c>
      <c r="H57" s="140">
        <v>4</v>
      </c>
      <c r="I57" s="140">
        <v>5</v>
      </c>
      <c r="J57" s="140">
        <v>6</v>
      </c>
      <c r="K57" s="140">
        <v>7</v>
      </c>
      <c r="L57" s="140">
        <v>8</v>
      </c>
      <c r="M57" s="140">
        <v>9</v>
      </c>
      <c r="N57" s="140">
        <v>10</v>
      </c>
      <c r="O57" s="140">
        <v>11</v>
      </c>
      <c r="P57" s="140">
        <v>12</v>
      </c>
      <c r="Q57" s="140">
        <v>13</v>
      </c>
      <c r="R57" s="140">
        <v>14</v>
      </c>
      <c r="S57" s="140">
        <v>15</v>
      </c>
      <c r="T57" s="140">
        <v>16</v>
      </c>
      <c r="U57" s="140">
        <v>17</v>
      </c>
      <c r="V57" s="140">
        <v>18</v>
      </c>
      <c r="W57" s="141" t="s">
        <v>310</v>
      </c>
      <c r="X57" s="142"/>
    </row>
    <row r="58" spans="1:24" ht="16.5" thickBot="1">
      <c r="A58" s="168"/>
      <c r="B58" s="168"/>
      <c r="C58" s="169"/>
      <c r="D58" s="155" t="s">
        <v>331</v>
      </c>
      <c r="E58" s="170">
        <v>0.75</v>
      </c>
      <c r="F58" s="170">
        <v>0.25</v>
      </c>
      <c r="G58" s="170">
        <v>3</v>
      </c>
      <c r="H58" s="170">
        <v>2</v>
      </c>
      <c r="I58" s="170">
        <v>0.75</v>
      </c>
      <c r="J58" s="170">
        <v>-3</v>
      </c>
      <c r="K58" s="170">
        <v>-4</v>
      </c>
      <c r="L58" s="170">
        <v>20</v>
      </c>
      <c r="M58" s="170">
        <v>10</v>
      </c>
      <c r="N58" s="170">
        <v>5</v>
      </c>
      <c r="O58" s="170">
        <v>3</v>
      </c>
      <c r="P58" s="170">
        <v>5</v>
      </c>
      <c r="Q58" s="170">
        <v>7</v>
      </c>
      <c r="R58" s="170">
        <v>3</v>
      </c>
      <c r="S58" s="170">
        <v>3</v>
      </c>
      <c r="T58" s="170">
        <v>3</v>
      </c>
      <c r="U58" s="170">
        <v>8.25</v>
      </c>
      <c r="V58" s="170">
        <v>16</v>
      </c>
      <c r="W58" s="156" t="s">
        <v>330</v>
      </c>
      <c r="X58" s="157" t="s">
        <v>310</v>
      </c>
    </row>
    <row r="59" spans="1:24" ht="19.5">
      <c r="A59" s="164">
        <v>1</v>
      </c>
      <c r="B59" s="181">
        <v>5</v>
      </c>
      <c r="C59" s="175" t="s">
        <v>12</v>
      </c>
      <c r="D59" s="244">
        <v>92.5</v>
      </c>
      <c r="E59" s="144">
        <v>2.25</v>
      </c>
      <c r="F59" s="144">
        <v>1.5</v>
      </c>
      <c r="G59" s="144">
        <v>3</v>
      </c>
      <c r="H59" s="144">
        <v>0</v>
      </c>
      <c r="I59" s="144">
        <v>0</v>
      </c>
      <c r="J59" s="144">
        <v>0</v>
      </c>
      <c r="K59" s="144">
        <v>0</v>
      </c>
      <c r="L59" s="144">
        <v>0</v>
      </c>
      <c r="M59" s="144">
        <v>10</v>
      </c>
      <c r="N59" s="144">
        <v>0</v>
      </c>
      <c r="O59" s="144">
        <v>3</v>
      </c>
      <c r="P59" s="144">
        <v>5</v>
      </c>
      <c r="Q59" s="144">
        <v>7</v>
      </c>
      <c r="R59" s="144">
        <v>3</v>
      </c>
      <c r="S59" s="144">
        <v>0</v>
      </c>
      <c r="T59" s="144">
        <v>3</v>
      </c>
      <c r="U59" s="144">
        <v>0</v>
      </c>
      <c r="V59" s="144">
        <v>0</v>
      </c>
      <c r="W59" s="144">
        <f aca="true" t="shared" si="4" ref="W59:W68">SUM(E59:V59)</f>
        <v>37.75</v>
      </c>
      <c r="X59" s="145">
        <v>5</v>
      </c>
    </row>
    <row r="60" spans="1:24" ht="19.5">
      <c r="A60" s="389">
        <v>2</v>
      </c>
      <c r="B60" s="438">
        <v>6</v>
      </c>
      <c r="C60" s="437" t="s">
        <v>333</v>
      </c>
      <c r="D60" s="244">
        <v>76.75</v>
      </c>
      <c r="E60" s="144">
        <v>3.75</v>
      </c>
      <c r="F60" s="144">
        <v>2.25</v>
      </c>
      <c r="G60" s="144">
        <v>0</v>
      </c>
      <c r="H60" s="144">
        <v>2</v>
      </c>
      <c r="I60" s="144">
        <v>0.75</v>
      </c>
      <c r="J60" s="144">
        <v>0</v>
      </c>
      <c r="K60" s="144">
        <v>0</v>
      </c>
      <c r="L60" s="144">
        <v>0</v>
      </c>
      <c r="M60" s="144">
        <v>0</v>
      </c>
      <c r="N60" s="144">
        <v>0</v>
      </c>
      <c r="O60" s="144">
        <v>0</v>
      </c>
      <c r="P60" s="144">
        <v>0</v>
      </c>
      <c r="Q60" s="144">
        <v>0</v>
      </c>
      <c r="R60" s="144">
        <v>0</v>
      </c>
      <c r="S60" s="144">
        <v>0</v>
      </c>
      <c r="T60" s="144">
        <v>0</v>
      </c>
      <c r="U60" s="144">
        <v>0</v>
      </c>
      <c r="V60" s="144">
        <v>0</v>
      </c>
      <c r="W60" s="144">
        <f t="shared" si="4"/>
        <v>8.75</v>
      </c>
      <c r="X60" s="145">
        <v>5</v>
      </c>
    </row>
    <row r="61" spans="1:24" ht="19.5">
      <c r="A61" s="164">
        <v>3</v>
      </c>
      <c r="B61" s="183">
        <v>6</v>
      </c>
      <c r="C61" s="175" t="s">
        <v>8</v>
      </c>
      <c r="D61" s="244">
        <v>65</v>
      </c>
      <c r="E61" s="144">
        <v>1.5</v>
      </c>
      <c r="F61" s="144">
        <v>0.75</v>
      </c>
      <c r="G61" s="144">
        <v>0</v>
      </c>
      <c r="H61" s="144">
        <v>0</v>
      </c>
      <c r="I61" s="144">
        <v>0</v>
      </c>
      <c r="J61" s="144">
        <v>0</v>
      </c>
      <c r="K61" s="144">
        <v>0</v>
      </c>
      <c r="L61" s="144">
        <v>0</v>
      </c>
      <c r="M61" s="144">
        <v>0</v>
      </c>
      <c r="N61" s="144">
        <v>0</v>
      </c>
      <c r="O61" s="144">
        <v>0</v>
      </c>
      <c r="P61" s="144">
        <v>0</v>
      </c>
      <c r="Q61" s="144">
        <v>0</v>
      </c>
      <c r="R61" s="144">
        <v>0</v>
      </c>
      <c r="S61" s="144">
        <v>0</v>
      </c>
      <c r="T61" s="144">
        <v>0</v>
      </c>
      <c r="U61" s="144">
        <v>0</v>
      </c>
      <c r="V61" s="144">
        <v>0</v>
      </c>
      <c r="W61" s="144">
        <f t="shared" si="4"/>
        <v>2.25</v>
      </c>
      <c r="X61" s="145">
        <v>5</v>
      </c>
    </row>
    <row r="62" spans="1:24" ht="19.5">
      <c r="A62" s="389">
        <v>4</v>
      </c>
      <c r="B62" s="184">
        <v>4</v>
      </c>
      <c r="C62" s="390" t="s">
        <v>10</v>
      </c>
      <c r="D62" s="244">
        <v>23</v>
      </c>
      <c r="E62" s="234">
        <v>0.75</v>
      </c>
      <c r="F62" s="234">
        <v>0.75</v>
      </c>
      <c r="G62" s="234">
        <v>0</v>
      </c>
      <c r="H62" s="234">
        <v>0</v>
      </c>
      <c r="I62" s="234">
        <v>0</v>
      </c>
      <c r="J62" s="234">
        <v>0</v>
      </c>
      <c r="K62" s="234">
        <v>0</v>
      </c>
      <c r="L62" s="234">
        <v>0</v>
      </c>
      <c r="M62" s="234">
        <v>0</v>
      </c>
      <c r="N62" s="234">
        <v>0</v>
      </c>
      <c r="O62" s="234">
        <v>0</v>
      </c>
      <c r="P62" s="234">
        <v>0</v>
      </c>
      <c r="Q62" s="234">
        <v>0</v>
      </c>
      <c r="R62" s="234">
        <v>0</v>
      </c>
      <c r="S62" s="234">
        <v>3</v>
      </c>
      <c r="T62" s="234">
        <v>0</v>
      </c>
      <c r="U62" s="234">
        <v>0</v>
      </c>
      <c r="V62" s="234">
        <v>0</v>
      </c>
      <c r="W62" s="144">
        <f t="shared" si="4"/>
        <v>4.5</v>
      </c>
      <c r="X62" s="145">
        <v>5</v>
      </c>
    </row>
    <row r="63" spans="1:24" ht="19.5">
      <c r="A63" s="164">
        <v>5</v>
      </c>
      <c r="B63" s="179">
        <v>4</v>
      </c>
      <c r="C63" s="175" t="s">
        <v>53</v>
      </c>
      <c r="D63" s="244">
        <v>20</v>
      </c>
      <c r="E63" s="144">
        <v>3</v>
      </c>
      <c r="F63" s="144">
        <v>0</v>
      </c>
      <c r="G63" s="144">
        <v>0</v>
      </c>
      <c r="H63" s="144">
        <v>0</v>
      </c>
      <c r="I63" s="144">
        <v>0</v>
      </c>
      <c r="J63" s="144">
        <v>0</v>
      </c>
      <c r="K63" s="144">
        <v>0</v>
      </c>
      <c r="L63" s="144">
        <v>0</v>
      </c>
      <c r="M63" s="144">
        <v>0</v>
      </c>
      <c r="N63" s="144">
        <v>0</v>
      </c>
      <c r="O63" s="144">
        <v>0</v>
      </c>
      <c r="P63" s="144">
        <v>0</v>
      </c>
      <c r="Q63" s="144">
        <v>0</v>
      </c>
      <c r="R63" s="144">
        <v>0</v>
      </c>
      <c r="S63" s="144">
        <v>0</v>
      </c>
      <c r="T63" s="144">
        <v>0</v>
      </c>
      <c r="U63" s="144">
        <v>0</v>
      </c>
      <c r="V63" s="144">
        <v>0</v>
      </c>
      <c r="W63" s="144">
        <f t="shared" si="4"/>
        <v>3</v>
      </c>
      <c r="X63" s="145">
        <v>5</v>
      </c>
    </row>
    <row r="64" spans="1:24" ht="19.5">
      <c r="A64" s="165">
        <v>6</v>
      </c>
      <c r="B64" s="184">
        <v>4</v>
      </c>
      <c r="C64" s="176" t="s">
        <v>52</v>
      </c>
      <c r="D64" s="244">
        <v>11.5</v>
      </c>
      <c r="E64" s="144">
        <v>0.75</v>
      </c>
      <c r="F64" s="144">
        <v>0</v>
      </c>
      <c r="G64" s="144">
        <v>0</v>
      </c>
      <c r="H64" s="144">
        <v>2</v>
      </c>
      <c r="I64" s="144">
        <v>0</v>
      </c>
      <c r="J64" s="144">
        <v>0</v>
      </c>
      <c r="K64" s="144">
        <v>0</v>
      </c>
      <c r="L64" s="144">
        <v>0</v>
      </c>
      <c r="M64" s="144">
        <v>0</v>
      </c>
      <c r="N64" s="144">
        <v>0</v>
      </c>
      <c r="O64" s="144">
        <v>0</v>
      </c>
      <c r="P64" s="144">
        <v>0</v>
      </c>
      <c r="Q64" s="144">
        <v>0</v>
      </c>
      <c r="R64" s="144">
        <v>0</v>
      </c>
      <c r="S64" s="144">
        <v>0</v>
      </c>
      <c r="T64" s="144">
        <v>0</v>
      </c>
      <c r="U64" s="144">
        <v>0</v>
      </c>
      <c r="V64" s="144">
        <v>0</v>
      </c>
      <c r="W64" s="144">
        <f t="shared" si="4"/>
        <v>2.75</v>
      </c>
      <c r="X64" s="145">
        <v>5</v>
      </c>
    </row>
    <row r="65" spans="1:24" ht="19.5">
      <c r="A65" s="164">
        <v>7</v>
      </c>
      <c r="B65" s="179">
        <v>4</v>
      </c>
      <c r="C65" s="175" t="s">
        <v>332</v>
      </c>
      <c r="D65" s="244">
        <v>4.25</v>
      </c>
      <c r="E65" s="144">
        <v>0</v>
      </c>
      <c r="F65" s="144">
        <v>0.5</v>
      </c>
      <c r="G65" s="144">
        <v>0</v>
      </c>
      <c r="H65" s="144">
        <v>0</v>
      </c>
      <c r="I65" s="144">
        <v>0</v>
      </c>
      <c r="J65" s="144">
        <v>0</v>
      </c>
      <c r="K65" s="144">
        <v>0</v>
      </c>
      <c r="L65" s="144">
        <v>0</v>
      </c>
      <c r="M65" s="144">
        <v>0</v>
      </c>
      <c r="N65" s="144">
        <v>0</v>
      </c>
      <c r="O65" s="144">
        <v>0</v>
      </c>
      <c r="P65" s="144">
        <v>0</v>
      </c>
      <c r="Q65" s="144">
        <v>0</v>
      </c>
      <c r="R65" s="144">
        <v>0</v>
      </c>
      <c r="S65" s="144">
        <v>0</v>
      </c>
      <c r="T65" s="144">
        <v>0</v>
      </c>
      <c r="U65" s="144">
        <v>0</v>
      </c>
      <c r="V65" s="144">
        <v>0</v>
      </c>
      <c r="W65" s="144">
        <f t="shared" si="4"/>
        <v>0.5</v>
      </c>
      <c r="X65" s="145">
        <v>5</v>
      </c>
    </row>
    <row r="66" spans="1:24" ht="19.5">
      <c r="A66" s="300">
        <v>8</v>
      </c>
      <c r="B66" s="184">
        <v>4</v>
      </c>
      <c r="C66" s="239" t="s">
        <v>370</v>
      </c>
      <c r="D66" s="301">
        <v>2.75</v>
      </c>
      <c r="E66" s="302">
        <v>0</v>
      </c>
      <c r="F66" s="302">
        <v>0.25</v>
      </c>
      <c r="G66" s="302">
        <v>0</v>
      </c>
      <c r="H66" s="302">
        <v>0</v>
      </c>
      <c r="I66" s="302">
        <v>0</v>
      </c>
      <c r="J66" s="302">
        <v>0</v>
      </c>
      <c r="K66" s="302">
        <v>0</v>
      </c>
      <c r="L66" s="302">
        <v>0</v>
      </c>
      <c r="M66" s="302">
        <v>0</v>
      </c>
      <c r="N66" s="302">
        <v>0</v>
      </c>
      <c r="O66" s="302">
        <v>0</v>
      </c>
      <c r="P66" s="302">
        <v>0</v>
      </c>
      <c r="Q66" s="302">
        <v>0</v>
      </c>
      <c r="R66" s="302">
        <v>0</v>
      </c>
      <c r="S66" s="302">
        <v>0</v>
      </c>
      <c r="T66" s="302">
        <v>0</v>
      </c>
      <c r="U66" s="302">
        <v>0</v>
      </c>
      <c r="V66" s="302">
        <v>0</v>
      </c>
      <c r="W66" s="146">
        <f t="shared" si="4"/>
        <v>0.25</v>
      </c>
      <c r="X66" s="303">
        <v>5</v>
      </c>
    </row>
    <row r="67" spans="1:24" ht="19.5">
      <c r="A67" s="391">
        <v>9</v>
      </c>
      <c r="B67" s="179">
        <v>4</v>
      </c>
      <c r="C67" s="392" t="s">
        <v>121</v>
      </c>
      <c r="D67" s="301">
        <v>2.25</v>
      </c>
      <c r="E67" s="146">
        <v>0</v>
      </c>
      <c r="F67" s="146">
        <v>0</v>
      </c>
      <c r="G67" s="146">
        <v>0</v>
      </c>
      <c r="H67" s="146">
        <v>0</v>
      </c>
      <c r="I67" s="146">
        <v>0</v>
      </c>
      <c r="J67" s="146">
        <v>0</v>
      </c>
      <c r="K67" s="146">
        <v>0</v>
      </c>
      <c r="L67" s="146">
        <v>0</v>
      </c>
      <c r="M67" s="146">
        <v>0</v>
      </c>
      <c r="N67" s="146">
        <v>0</v>
      </c>
      <c r="O67" s="146">
        <v>0</v>
      </c>
      <c r="P67" s="146">
        <v>0</v>
      </c>
      <c r="Q67" s="146">
        <v>0</v>
      </c>
      <c r="R67" s="146">
        <v>0</v>
      </c>
      <c r="S67" s="146">
        <v>0</v>
      </c>
      <c r="T67" s="146">
        <v>0</v>
      </c>
      <c r="U67" s="146">
        <v>0</v>
      </c>
      <c r="V67" s="146">
        <v>0</v>
      </c>
      <c r="W67" s="146">
        <f t="shared" si="4"/>
        <v>0</v>
      </c>
      <c r="X67" s="240">
        <v>5</v>
      </c>
    </row>
    <row r="68" spans="1:24" ht="20.25" thickBot="1">
      <c r="A68" s="168">
        <v>10</v>
      </c>
      <c r="B68" s="407">
        <v>4</v>
      </c>
      <c r="C68" s="178" t="s">
        <v>539</v>
      </c>
      <c r="D68" s="246">
        <v>0.75</v>
      </c>
      <c r="E68" s="247">
        <v>0.75</v>
      </c>
      <c r="F68" s="247">
        <v>0</v>
      </c>
      <c r="G68" s="247">
        <v>0</v>
      </c>
      <c r="H68" s="247">
        <v>0</v>
      </c>
      <c r="I68" s="247">
        <v>0</v>
      </c>
      <c r="J68" s="247">
        <v>0</v>
      </c>
      <c r="K68" s="247">
        <v>0</v>
      </c>
      <c r="L68" s="247">
        <v>0</v>
      </c>
      <c r="M68" s="247">
        <v>0</v>
      </c>
      <c r="N68" s="247">
        <v>0</v>
      </c>
      <c r="O68" s="247">
        <v>0</v>
      </c>
      <c r="P68" s="247">
        <v>0</v>
      </c>
      <c r="Q68" s="247">
        <v>0</v>
      </c>
      <c r="R68" s="247">
        <v>0</v>
      </c>
      <c r="S68" s="247">
        <v>0</v>
      </c>
      <c r="T68" s="247">
        <v>0</v>
      </c>
      <c r="U68" s="247">
        <v>0</v>
      </c>
      <c r="V68" s="247">
        <v>0</v>
      </c>
      <c r="W68" s="160">
        <f t="shared" si="4"/>
        <v>0.75</v>
      </c>
      <c r="X68" s="248">
        <v>5</v>
      </c>
    </row>
    <row r="69" ht="15.75"/>
    <row r="70" spans="1:24" ht="15.75">
      <c r="A70" s="165"/>
      <c r="B70" s="165"/>
      <c r="C70" s="167"/>
      <c r="D70" s="955" t="s">
        <v>652</v>
      </c>
      <c r="E70" s="956"/>
      <c r="F70" s="956"/>
      <c r="G70" s="956"/>
      <c r="H70" s="956"/>
      <c r="I70" s="956"/>
      <c r="J70" s="956"/>
      <c r="K70" s="956"/>
      <c r="L70" s="956"/>
      <c r="M70" s="956"/>
      <c r="N70" s="956"/>
      <c r="O70" s="956"/>
      <c r="P70" s="956"/>
      <c r="Q70" s="956"/>
      <c r="R70" s="956"/>
      <c r="S70" s="956"/>
      <c r="T70" s="956"/>
      <c r="U70" s="956"/>
      <c r="V70" s="956"/>
      <c r="W70" s="956"/>
      <c r="X70" s="956"/>
    </row>
    <row r="71" spans="1:24" ht="15.75">
      <c r="A71" s="165"/>
      <c r="B71" s="165"/>
      <c r="C71" s="167"/>
      <c r="D71" s="956"/>
      <c r="E71" s="956"/>
      <c r="F71" s="956"/>
      <c r="G71" s="956"/>
      <c r="H71" s="956"/>
      <c r="I71" s="956"/>
      <c r="J71" s="956"/>
      <c r="K71" s="956"/>
      <c r="L71" s="956"/>
      <c r="M71" s="956"/>
      <c r="N71" s="956"/>
      <c r="O71" s="956"/>
      <c r="P71" s="956"/>
      <c r="Q71" s="956"/>
      <c r="R71" s="956"/>
      <c r="S71" s="956"/>
      <c r="T71" s="956"/>
      <c r="U71" s="956"/>
      <c r="V71" s="956"/>
      <c r="W71" s="956"/>
      <c r="X71" s="956"/>
    </row>
    <row r="72" spans="1:24" ht="15.75">
      <c r="A72" s="165"/>
      <c r="B72" s="165"/>
      <c r="C72" s="167"/>
      <c r="D72" s="151" t="s">
        <v>329</v>
      </c>
      <c r="E72" s="140">
        <v>1</v>
      </c>
      <c r="F72" s="140">
        <v>2</v>
      </c>
      <c r="G72" s="140">
        <v>3</v>
      </c>
      <c r="H72" s="140">
        <v>4</v>
      </c>
      <c r="I72" s="140">
        <v>5</v>
      </c>
      <c r="J72" s="140">
        <v>6</v>
      </c>
      <c r="K72" s="140">
        <v>7</v>
      </c>
      <c r="L72" s="140">
        <v>8</v>
      </c>
      <c r="M72" s="140">
        <v>9</v>
      </c>
      <c r="N72" s="140">
        <v>10</v>
      </c>
      <c r="O72" s="140">
        <v>11</v>
      </c>
      <c r="P72" s="140">
        <v>12</v>
      </c>
      <c r="Q72" s="140">
        <v>13</v>
      </c>
      <c r="R72" s="140">
        <v>14</v>
      </c>
      <c r="S72" s="140">
        <v>15</v>
      </c>
      <c r="T72" s="140">
        <v>16</v>
      </c>
      <c r="U72" s="140">
        <v>17</v>
      </c>
      <c r="V72" s="140">
        <v>18</v>
      </c>
      <c r="W72" s="141" t="s">
        <v>310</v>
      </c>
      <c r="X72" s="142"/>
    </row>
    <row r="73" spans="1:24" ht="16.5" thickBot="1">
      <c r="A73" s="168"/>
      <c r="B73" s="168"/>
      <c r="C73" s="169"/>
      <c r="D73" s="155" t="s">
        <v>331</v>
      </c>
      <c r="E73" s="170">
        <v>0.75</v>
      </c>
      <c r="F73" s="170">
        <v>0.25</v>
      </c>
      <c r="G73" s="170">
        <v>3</v>
      </c>
      <c r="H73" s="170">
        <v>2</v>
      </c>
      <c r="I73" s="170">
        <v>0.75</v>
      </c>
      <c r="J73" s="170">
        <v>-3</v>
      </c>
      <c r="K73" s="170">
        <v>-4</v>
      </c>
      <c r="L73" s="170">
        <v>20</v>
      </c>
      <c r="M73" s="170">
        <v>10</v>
      </c>
      <c r="N73" s="170">
        <v>5</v>
      </c>
      <c r="O73" s="170">
        <v>3</v>
      </c>
      <c r="P73" s="170">
        <v>5</v>
      </c>
      <c r="Q73" s="170">
        <v>7</v>
      </c>
      <c r="R73" s="170">
        <v>3</v>
      </c>
      <c r="S73" s="170">
        <v>3</v>
      </c>
      <c r="T73" s="170">
        <v>3</v>
      </c>
      <c r="U73" s="170">
        <v>8.25</v>
      </c>
      <c r="V73" s="170">
        <v>16</v>
      </c>
      <c r="W73" s="156" t="s">
        <v>330</v>
      </c>
      <c r="X73" s="157" t="s">
        <v>310</v>
      </c>
    </row>
    <row r="74" spans="1:24" ht="19.5">
      <c r="A74" s="164">
        <v>1</v>
      </c>
      <c r="B74" s="179">
        <v>4</v>
      </c>
      <c r="C74" s="175" t="s">
        <v>12</v>
      </c>
      <c r="D74" s="244">
        <v>118.5</v>
      </c>
      <c r="E74" s="144">
        <v>1.5</v>
      </c>
      <c r="F74" s="144">
        <v>1.5</v>
      </c>
      <c r="G74" s="144">
        <v>0</v>
      </c>
      <c r="H74" s="144">
        <v>2</v>
      </c>
      <c r="I74" s="144">
        <v>0</v>
      </c>
      <c r="J74" s="144">
        <v>0</v>
      </c>
      <c r="K74" s="144">
        <v>0</v>
      </c>
      <c r="L74" s="144">
        <v>0</v>
      </c>
      <c r="M74" s="144">
        <v>10</v>
      </c>
      <c r="N74" s="144">
        <v>0</v>
      </c>
      <c r="O74" s="144">
        <v>3</v>
      </c>
      <c r="P74" s="144">
        <v>5</v>
      </c>
      <c r="Q74" s="144">
        <v>0</v>
      </c>
      <c r="R74" s="144">
        <v>3</v>
      </c>
      <c r="S74" s="144">
        <v>0</v>
      </c>
      <c r="T74" s="144">
        <v>0</v>
      </c>
      <c r="U74" s="144">
        <v>0</v>
      </c>
      <c r="V74" s="144">
        <v>0</v>
      </c>
      <c r="W74" s="144">
        <f aca="true" t="shared" si="5" ref="W74:W83">SUM(E74:V74)</f>
        <v>26</v>
      </c>
      <c r="X74" s="145">
        <v>6</v>
      </c>
    </row>
    <row r="75" spans="1:24" ht="19.5">
      <c r="A75" s="389">
        <v>2</v>
      </c>
      <c r="B75" s="436">
        <v>4</v>
      </c>
      <c r="C75" s="437" t="s">
        <v>333</v>
      </c>
      <c r="D75" s="244">
        <v>85.75</v>
      </c>
      <c r="E75" s="144">
        <v>3.75</v>
      </c>
      <c r="F75" s="144">
        <v>4.5</v>
      </c>
      <c r="G75" s="144">
        <v>0</v>
      </c>
      <c r="H75" s="144">
        <v>0</v>
      </c>
      <c r="I75" s="144">
        <v>0.75</v>
      </c>
      <c r="J75" s="144">
        <v>0</v>
      </c>
      <c r="K75" s="144">
        <v>0</v>
      </c>
      <c r="L75" s="144">
        <v>0</v>
      </c>
      <c r="M75" s="144">
        <v>0</v>
      </c>
      <c r="N75" s="144">
        <v>0</v>
      </c>
      <c r="O75" s="144">
        <v>0</v>
      </c>
      <c r="P75" s="144">
        <v>0</v>
      </c>
      <c r="Q75" s="144">
        <v>0</v>
      </c>
      <c r="R75" s="144">
        <v>0</v>
      </c>
      <c r="S75" s="144">
        <v>0</v>
      </c>
      <c r="T75" s="144">
        <v>0</v>
      </c>
      <c r="U75" s="144">
        <v>0</v>
      </c>
      <c r="V75" s="144">
        <v>0</v>
      </c>
      <c r="W75" s="144">
        <f t="shared" si="5"/>
        <v>9</v>
      </c>
      <c r="X75" s="145">
        <v>6</v>
      </c>
    </row>
    <row r="76" spans="1:24" ht="19.5">
      <c r="A76" s="164">
        <v>3</v>
      </c>
      <c r="B76" s="179">
        <v>4</v>
      </c>
      <c r="C76" s="175" t="s">
        <v>8</v>
      </c>
      <c r="D76" s="244">
        <v>67.25</v>
      </c>
      <c r="E76" s="144">
        <v>1.5</v>
      </c>
      <c r="F76" s="144">
        <v>0.75</v>
      </c>
      <c r="G76" s="144">
        <v>0</v>
      </c>
      <c r="H76" s="144">
        <v>0</v>
      </c>
      <c r="I76" s="144">
        <v>0</v>
      </c>
      <c r="J76" s="144">
        <v>0</v>
      </c>
      <c r="K76" s="144">
        <v>0</v>
      </c>
      <c r="L76" s="144">
        <v>0</v>
      </c>
      <c r="M76" s="144">
        <v>0</v>
      </c>
      <c r="N76" s="144">
        <v>0</v>
      </c>
      <c r="O76" s="144">
        <v>0</v>
      </c>
      <c r="P76" s="144">
        <v>0</v>
      </c>
      <c r="Q76" s="144">
        <v>0</v>
      </c>
      <c r="R76" s="144">
        <v>0</v>
      </c>
      <c r="S76" s="144">
        <v>0</v>
      </c>
      <c r="T76" s="144">
        <v>0</v>
      </c>
      <c r="U76" s="144">
        <v>0</v>
      </c>
      <c r="V76" s="144">
        <v>0</v>
      </c>
      <c r="W76" s="144">
        <f t="shared" si="5"/>
        <v>2.25</v>
      </c>
      <c r="X76" s="145">
        <v>6</v>
      </c>
    </row>
    <row r="77" spans="1:24" ht="19.5">
      <c r="A77" s="389">
        <v>4</v>
      </c>
      <c r="B77" s="184">
        <v>4</v>
      </c>
      <c r="C77" s="390" t="s">
        <v>10</v>
      </c>
      <c r="D77" s="244">
        <v>40.25</v>
      </c>
      <c r="E77" s="234">
        <v>0.75</v>
      </c>
      <c r="F77" s="234">
        <v>1.5</v>
      </c>
      <c r="G77" s="234">
        <v>0</v>
      </c>
      <c r="H77" s="234">
        <v>2</v>
      </c>
      <c r="I77" s="234">
        <v>0</v>
      </c>
      <c r="J77" s="234">
        <v>0</v>
      </c>
      <c r="K77" s="234">
        <v>0</v>
      </c>
      <c r="L77" s="234">
        <v>0</v>
      </c>
      <c r="M77" s="234">
        <v>0</v>
      </c>
      <c r="N77" s="234">
        <v>0</v>
      </c>
      <c r="O77" s="234">
        <v>0</v>
      </c>
      <c r="P77" s="234">
        <v>0</v>
      </c>
      <c r="Q77" s="234">
        <v>7</v>
      </c>
      <c r="R77" s="234">
        <v>0</v>
      </c>
      <c r="S77" s="234">
        <v>3</v>
      </c>
      <c r="T77" s="234">
        <v>3</v>
      </c>
      <c r="U77" s="234">
        <v>0</v>
      </c>
      <c r="V77" s="234">
        <v>0</v>
      </c>
      <c r="W77" s="144">
        <f t="shared" si="5"/>
        <v>17.25</v>
      </c>
      <c r="X77" s="145">
        <v>6</v>
      </c>
    </row>
    <row r="78" spans="1:24" ht="19.5">
      <c r="A78" s="164">
        <v>5</v>
      </c>
      <c r="B78" s="179">
        <v>4</v>
      </c>
      <c r="C78" s="175" t="s">
        <v>53</v>
      </c>
      <c r="D78" s="244">
        <v>26.25</v>
      </c>
      <c r="E78" s="144">
        <v>3</v>
      </c>
      <c r="F78" s="144">
        <v>0.25</v>
      </c>
      <c r="G78" s="144">
        <v>3</v>
      </c>
      <c r="H78" s="144">
        <v>0</v>
      </c>
      <c r="I78" s="144">
        <v>0</v>
      </c>
      <c r="J78" s="144">
        <v>0</v>
      </c>
      <c r="K78" s="144">
        <v>0</v>
      </c>
      <c r="L78" s="144">
        <v>0</v>
      </c>
      <c r="M78" s="144">
        <v>0</v>
      </c>
      <c r="N78" s="144">
        <v>0</v>
      </c>
      <c r="O78" s="144">
        <v>0</v>
      </c>
      <c r="P78" s="144">
        <v>0</v>
      </c>
      <c r="Q78" s="144">
        <v>0</v>
      </c>
      <c r="R78" s="144">
        <v>0</v>
      </c>
      <c r="S78" s="144">
        <v>0</v>
      </c>
      <c r="T78" s="144">
        <v>0</v>
      </c>
      <c r="U78" s="144">
        <v>0</v>
      </c>
      <c r="V78" s="144">
        <v>0</v>
      </c>
      <c r="W78" s="144">
        <f t="shared" si="5"/>
        <v>6.25</v>
      </c>
      <c r="X78" s="145">
        <v>6</v>
      </c>
    </row>
    <row r="79" spans="1:24" ht="19.5">
      <c r="A79" s="165">
        <v>6</v>
      </c>
      <c r="B79" s="184">
        <v>4</v>
      </c>
      <c r="C79" s="176" t="s">
        <v>52</v>
      </c>
      <c r="D79" s="244">
        <v>16.25</v>
      </c>
      <c r="E79" s="144">
        <v>1.5</v>
      </c>
      <c r="F79" s="144">
        <v>0.25</v>
      </c>
      <c r="G79" s="144">
        <v>3</v>
      </c>
      <c r="H79" s="144">
        <v>0</v>
      </c>
      <c r="I79" s="144">
        <v>0</v>
      </c>
      <c r="J79" s="144">
        <v>0</v>
      </c>
      <c r="K79" s="144">
        <v>0</v>
      </c>
      <c r="L79" s="144">
        <v>0</v>
      </c>
      <c r="M79" s="144">
        <v>0</v>
      </c>
      <c r="N79" s="144">
        <v>0</v>
      </c>
      <c r="O79" s="144">
        <v>0</v>
      </c>
      <c r="P79" s="144">
        <v>0</v>
      </c>
      <c r="Q79" s="144">
        <v>0</v>
      </c>
      <c r="R79" s="144">
        <v>0</v>
      </c>
      <c r="S79" s="144">
        <v>0</v>
      </c>
      <c r="T79" s="144">
        <v>0</v>
      </c>
      <c r="U79" s="144">
        <v>0</v>
      </c>
      <c r="V79" s="144">
        <v>0</v>
      </c>
      <c r="W79" s="144">
        <f t="shared" si="5"/>
        <v>4.75</v>
      </c>
      <c r="X79" s="145">
        <v>6</v>
      </c>
    </row>
    <row r="80" spans="1:24" ht="19.5">
      <c r="A80" s="164">
        <v>7</v>
      </c>
      <c r="B80" s="179">
        <v>4</v>
      </c>
      <c r="C80" s="175" t="s">
        <v>332</v>
      </c>
      <c r="D80" s="244">
        <v>9.25</v>
      </c>
      <c r="E80" s="144">
        <v>0</v>
      </c>
      <c r="F80" s="144">
        <v>1</v>
      </c>
      <c r="G80" s="144">
        <v>0</v>
      </c>
      <c r="H80" s="144">
        <v>4</v>
      </c>
      <c r="I80" s="144">
        <v>0</v>
      </c>
      <c r="J80" s="144">
        <v>0</v>
      </c>
      <c r="K80" s="144">
        <v>0</v>
      </c>
      <c r="L80" s="144">
        <v>0</v>
      </c>
      <c r="M80" s="144">
        <v>0</v>
      </c>
      <c r="N80" s="144">
        <v>0</v>
      </c>
      <c r="O80" s="144">
        <v>0</v>
      </c>
      <c r="P80" s="144">
        <v>0</v>
      </c>
      <c r="Q80" s="144">
        <v>0</v>
      </c>
      <c r="R80" s="144">
        <v>0</v>
      </c>
      <c r="S80" s="144">
        <v>0</v>
      </c>
      <c r="T80" s="144">
        <v>0</v>
      </c>
      <c r="U80" s="144">
        <v>0</v>
      </c>
      <c r="V80" s="144">
        <v>0</v>
      </c>
      <c r="W80" s="144">
        <f t="shared" si="5"/>
        <v>5</v>
      </c>
      <c r="X80" s="145">
        <v>6</v>
      </c>
    </row>
    <row r="81" spans="1:24" ht="19.5">
      <c r="A81" s="300">
        <v>8</v>
      </c>
      <c r="B81" s="184">
        <v>4</v>
      </c>
      <c r="C81" s="239" t="s">
        <v>370</v>
      </c>
      <c r="D81" s="301">
        <v>3</v>
      </c>
      <c r="E81" s="302">
        <v>0</v>
      </c>
      <c r="F81" s="302">
        <v>0.25</v>
      </c>
      <c r="G81" s="302">
        <v>0</v>
      </c>
      <c r="H81" s="302">
        <v>0</v>
      </c>
      <c r="I81" s="302">
        <v>0</v>
      </c>
      <c r="J81" s="302">
        <v>0</v>
      </c>
      <c r="K81" s="302">
        <v>0</v>
      </c>
      <c r="L81" s="302">
        <v>0</v>
      </c>
      <c r="M81" s="302">
        <v>0</v>
      </c>
      <c r="N81" s="302">
        <v>0</v>
      </c>
      <c r="O81" s="302">
        <v>0</v>
      </c>
      <c r="P81" s="302">
        <v>0</v>
      </c>
      <c r="Q81" s="302">
        <v>0</v>
      </c>
      <c r="R81" s="302">
        <v>0</v>
      </c>
      <c r="S81" s="302">
        <v>0</v>
      </c>
      <c r="T81" s="302">
        <v>0</v>
      </c>
      <c r="U81" s="302">
        <v>0</v>
      </c>
      <c r="V81" s="302">
        <v>0</v>
      </c>
      <c r="W81" s="146">
        <f t="shared" si="5"/>
        <v>0.25</v>
      </c>
      <c r="X81" s="303">
        <v>6</v>
      </c>
    </row>
    <row r="82" spans="1:24" ht="19.5">
      <c r="A82" s="391">
        <v>9</v>
      </c>
      <c r="B82" s="179">
        <v>4</v>
      </c>
      <c r="C82" s="392" t="s">
        <v>121</v>
      </c>
      <c r="D82" s="301">
        <v>2.25</v>
      </c>
      <c r="E82" s="146">
        <v>0</v>
      </c>
      <c r="F82" s="146">
        <v>0</v>
      </c>
      <c r="G82" s="146">
        <v>0</v>
      </c>
      <c r="H82" s="146">
        <v>0</v>
      </c>
      <c r="I82" s="146">
        <v>0</v>
      </c>
      <c r="J82" s="146">
        <v>0</v>
      </c>
      <c r="K82" s="146">
        <v>0</v>
      </c>
      <c r="L82" s="146">
        <v>0</v>
      </c>
      <c r="M82" s="146">
        <v>0</v>
      </c>
      <c r="N82" s="146">
        <v>0</v>
      </c>
      <c r="O82" s="146">
        <v>0</v>
      </c>
      <c r="P82" s="146">
        <v>0</v>
      </c>
      <c r="Q82" s="146">
        <v>0</v>
      </c>
      <c r="R82" s="146">
        <v>0</v>
      </c>
      <c r="S82" s="146">
        <v>0</v>
      </c>
      <c r="T82" s="146">
        <v>0</v>
      </c>
      <c r="U82" s="146">
        <v>0</v>
      </c>
      <c r="V82" s="146">
        <v>0</v>
      </c>
      <c r="W82" s="146">
        <f t="shared" si="5"/>
        <v>0</v>
      </c>
      <c r="X82" s="240">
        <v>6</v>
      </c>
    </row>
    <row r="83" spans="1:24" ht="20.25" thickBot="1">
      <c r="A83" s="168">
        <v>10</v>
      </c>
      <c r="B83" s="407">
        <v>4</v>
      </c>
      <c r="C83" s="178" t="s">
        <v>539</v>
      </c>
      <c r="D83" s="246">
        <v>0.75</v>
      </c>
      <c r="E83" s="247">
        <v>0</v>
      </c>
      <c r="F83" s="247">
        <v>0</v>
      </c>
      <c r="G83" s="247">
        <v>0</v>
      </c>
      <c r="H83" s="247">
        <v>0</v>
      </c>
      <c r="I83" s="247">
        <v>0</v>
      </c>
      <c r="J83" s="247">
        <v>0</v>
      </c>
      <c r="K83" s="247">
        <v>0</v>
      </c>
      <c r="L83" s="247">
        <v>0</v>
      </c>
      <c r="M83" s="247">
        <v>0</v>
      </c>
      <c r="N83" s="247">
        <v>0</v>
      </c>
      <c r="O83" s="247">
        <v>0</v>
      </c>
      <c r="P83" s="247">
        <v>0</v>
      </c>
      <c r="Q83" s="247">
        <v>0</v>
      </c>
      <c r="R83" s="247">
        <v>0</v>
      </c>
      <c r="S83" s="247">
        <v>0</v>
      </c>
      <c r="T83" s="247">
        <v>0</v>
      </c>
      <c r="U83" s="247">
        <v>0</v>
      </c>
      <c r="V83" s="247">
        <v>0</v>
      </c>
      <c r="W83" s="160">
        <f t="shared" si="5"/>
        <v>0</v>
      </c>
      <c r="X83" s="248">
        <v>6</v>
      </c>
    </row>
    <row r="84" ht="15.75"/>
    <row r="85" spans="1:24" ht="15.75">
      <c r="A85" s="165"/>
      <c r="B85" s="165"/>
      <c r="C85" s="167"/>
      <c r="D85" s="955" t="s">
        <v>692</v>
      </c>
      <c r="E85" s="956"/>
      <c r="F85" s="956"/>
      <c r="G85" s="956"/>
      <c r="H85" s="956"/>
      <c r="I85" s="956"/>
      <c r="J85" s="956"/>
      <c r="K85" s="956"/>
      <c r="L85" s="956"/>
      <c r="M85" s="956"/>
      <c r="N85" s="956"/>
      <c r="O85" s="956"/>
      <c r="P85" s="956"/>
      <c r="Q85" s="956"/>
      <c r="R85" s="956"/>
      <c r="S85" s="956"/>
      <c r="T85" s="956"/>
      <c r="U85" s="956"/>
      <c r="V85" s="956"/>
      <c r="W85" s="956"/>
      <c r="X85" s="956"/>
    </row>
    <row r="86" spans="1:24" ht="15.75">
      <c r="A86" s="165"/>
      <c r="B86" s="165"/>
      <c r="C86" s="167"/>
      <c r="D86" s="956"/>
      <c r="E86" s="956"/>
      <c r="F86" s="956"/>
      <c r="G86" s="956"/>
      <c r="H86" s="956"/>
      <c r="I86" s="956"/>
      <c r="J86" s="956"/>
      <c r="K86" s="956"/>
      <c r="L86" s="956"/>
      <c r="M86" s="956"/>
      <c r="N86" s="956"/>
      <c r="O86" s="956"/>
      <c r="P86" s="956"/>
      <c r="Q86" s="956"/>
      <c r="R86" s="956"/>
      <c r="S86" s="956"/>
      <c r="T86" s="956"/>
      <c r="U86" s="956"/>
      <c r="V86" s="956"/>
      <c r="W86" s="956"/>
      <c r="X86" s="956"/>
    </row>
    <row r="87" spans="1:24" ht="15.75">
      <c r="A87" s="165"/>
      <c r="B87" s="165"/>
      <c r="C87" s="167"/>
      <c r="D87" s="151" t="s">
        <v>329</v>
      </c>
      <c r="E87" s="140">
        <v>1</v>
      </c>
      <c r="F87" s="140">
        <v>2</v>
      </c>
      <c r="G87" s="140">
        <v>3</v>
      </c>
      <c r="H87" s="140">
        <v>4</v>
      </c>
      <c r="I87" s="140">
        <v>5</v>
      </c>
      <c r="J87" s="140">
        <v>6</v>
      </c>
      <c r="K87" s="140">
        <v>7</v>
      </c>
      <c r="L87" s="140">
        <v>8</v>
      </c>
      <c r="M87" s="140">
        <v>9</v>
      </c>
      <c r="N87" s="140">
        <v>10</v>
      </c>
      <c r="O87" s="140">
        <v>11</v>
      </c>
      <c r="P87" s="140">
        <v>12</v>
      </c>
      <c r="Q87" s="140">
        <v>13</v>
      </c>
      <c r="R87" s="140">
        <v>14</v>
      </c>
      <c r="S87" s="140">
        <v>15</v>
      </c>
      <c r="T87" s="140">
        <v>16</v>
      </c>
      <c r="U87" s="140">
        <v>17</v>
      </c>
      <c r="V87" s="140">
        <v>18</v>
      </c>
      <c r="W87" s="141" t="s">
        <v>310</v>
      </c>
      <c r="X87" s="142"/>
    </row>
    <row r="88" spans="1:24" ht="16.5" thickBot="1">
      <c r="A88" s="168"/>
      <c r="B88" s="168"/>
      <c r="C88" s="169"/>
      <c r="D88" s="155" t="s">
        <v>331</v>
      </c>
      <c r="E88" s="170">
        <v>0.75</v>
      </c>
      <c r="F88" s="170">
        <v>0.25</v>
      </c>
      <c r="G88" s="170">
        <v>3</v>
      </c>
      <c r="H88" s="170">
        <v>2</v>
      </c>
      <c r="I88" s="170">
        <v>0.75</v>
      </c>
      <c r="J88" s="170">
        <v>-3</v>
      </c>
      <c r="K88" s="170">
        <v>-4</v>
      </c>
      <c r="L88" s="170">
        <v>20</v>
      </c>
      <c r="M88" s="170">
        <v>10</v>
      </c>
      <c r="N88" s="170">
        <v>5</v>
      </c>
      <c r="O88" s="170">
        <v>3</v>
      </c>
      <c r="P88" s="170">
        <v>5</v>
      </c>
      <c r="Q88" s="170">
        <v>7</v>
      </c>
      <c r="R88" s="170">
        <v>3</v>
      </c>
      <c r="S88" s="170">
        <v>3</v>
      </c>
      <c r="T88" s="170">
        <v>3</v>
      </c>
      <c r="U88" s="170">
        <v>8.25</v>
      </c>
      <c r="V88" s="170">
        <v>16</v>
      </c>
      <c r="W88" s="156" t="s">
        <v>330</v>
      </c>
      <c r="X88" s="157" t="s">
        <v>310</v>
      </c>
    </row>
    <row r="89" spans="1:24" ht="19.5">
      <c r="A89" s="164">
        <v>1</v>
      </c>
      <c r="B89" s="179">
        <v>4</v>
      </c>
      <c r="C89" s="175" t="s">
        <v>12</v>
      </c>
      <c r="D89" s="244">
        <v>142</v>
      </c>
      <c r="E89" s="144">
        <v>1.5</v>
      </c>
      <c r="F89" s="144">
        <v>2</v>
      </c>
      <c r="G89" s="144">
        <v>0</v>
      </c>
      <c r="H89" s="144">
        <v>4</v>
      </c>
      <c r="I89" s="144">
        <v>0</v>
      </c>
      <c r="J89" s="144">
        <v>0</v>
      </c>
      <c r="K89" s="144">
        <v>0</v>
      </c>
      <c r="L89" s="144">
        <v>0</v>
      </c>
      <c r="M89" s="144">
        <v>0</v>
      </c>
      <c r="N89" s="144">
        <v>5</v>
      </c>
      <c r="O89" s="144">
        <v>3</v>
      </c>
      <c r="P89" s="144">
        <v>5</v>
      </c>
      <c r="Q89" s="144">
        <v>0</v>
      </c>
      <c r="R89" s="144">
        <v>3</v>
      </c>
      <c r="S89" s="144">
        <v>0</v>
      </c>
      <c r="T89" s="144">
        <v>0</v>
      </c>
      <c r="U89" s="144">
        <v>0</v>
      </c>
      <c r="V89" s="144">
        <v>0</v>
      </c>
      <c r="W89" s="144">
        <f aca="true" t="shared" si="6" ref="W89:W98">SUM(E89:V89)</f>
        <v>23.5</v>
      </c>
      <c r="X89" s="145">
        <v>7</v>
      </c>
    </row>
    <row r="90" spans="1:24" ht="19.5">
      <c r="A90" s="389">
        <v>2</v>
      </c>
      <c r="B90" s="436">
        <v>4</v>
      </c>
      <c r="C90" s="437" t="s">
        <v>333</v>
      </c>
      <c r="D90" s="244">
        <v>108</v>
      </c>
      <c r="E90" s="144">
        <v>6.75</v>
      </c>
      <c r="F90" s="144">
        <v>5.75</v>
      </c>
      <c r="G90" s="144">
        <v>0</v>
      </c>
      <c r="H90" s="144">
        <v>2</v>
      </c>
      <c r="I90" s="144">
        <v>0.75</v>
      </c>
      <c r="J90" s="144">
        <v>0</v>
      </c>
      <c r="K90" s="144">
        <v>0</v>
      </c>
      <c r="L90" s="144">
        <v>0</v>
      </c>
      <c r="M90" s="144">
        <v>0</v>
      </c>
      <c r="N90" s="144">
        <v>0</v>
      </c>
      <c r="O90" s="144">
        <v>0</v>
      </c>
      <c r="P90" s="144">
        <v>0</v>
      </c>
      <c r="Q90" s="144">
        <v>7</v>
      </c>
      <c r="R90" s="144">
        <v>0</v>
      </c>
      <c r="S90" s="144">
        <v>0</v>
      </c>
      <c r="T90" s="144">
        <v>0</v>
      </c>
      <c r="U90" s="144">
        <v>0</v>
      </c>
      <c r="V90" s="144">
        <v>0</v>
      </c>
      <c r="W90" s="144">
        <f t="shared" si="6"/>
        <v>22.25</v>
      </c>
      <c r="X90" s="145">
        <v>7</v>
      </c>
    </row>
    <row r="91" spans="1:24" ht="19.5">
      <c r="A91" s="164">
        <v>3</v>
      </c>
      <c r="B91" s="179">
        <v>4</v>
      </c>
      <c r="C91" s="175" t="s">
        <v>8</v>
      </c>
      <c r="D91" s="244">
        <v>69.25</v>
      </c>
      <c r="E91" s="144">
        <v>1.5</v>
      </c>
      <c r="F91" s="144">
        <v>0.5</v>
      </c>
      <c r="G91" s="144">
        <v>0</v>
      </c>
      <c r="H91" s="144">
        <v>0</v>
      </c>
      <c r="I91" s="144">
        <v>0</v>
      </c>
      <c r="J91" s="144">
        <v>0</v>
      </c>
      <c r="K91" s="144">
        <v>0</v>
      </c>
      <c r="L91" s="144">
        <v>0</v>
      </c>
      <c r="M91" s="144">
        <v>0</v>
      </c>
      <c r="N91" s="144">
        <v>0</v>
      </c>
      <c r="O91" s="144">
        <v>0</v>
      </c>
      <c r="P91" s="144">
        <v>0</v>
      </c>
      <c r="Q91" s="144">
        <v>0</v>
      </c>
      <c r="R91" s="144">
        <v>0</v>
      </c>
      <c r="S91" s="144">
        <v>0</v>
      </c>
      <c r="T91" s="144">
        <v>0</v>
      </c>
      <c r="U91" s="144">
        <v>0</v>
      </c>
      <c r="V91" s="144">
        <v>0</v>
      </c>
      <c r="W91" s="144">
        <f t="shared" si="6"/>
        <v>2</v>
      </c>
      <c r="X91" s="145">
        <v>7</v>
      </c>
    </row>
    <row r="92" spans="1:24" ht="19.5">
      <c r="A92" s="389">
        <v>4</v>
      </c>
      <c r="B92" s="184">
        <v>4</v>
      </c>
      <c r="C92" s="390" t="s">
        <v>10</v>
      </c>
      <c r="D92" s="244">
        <v>49.75</v>
      </c>
      <c r="E92" s="234">
        <v>0</v>
      </c>
      <c r="F92" s="234">
        <v>1.5</v>
      </c>
      <c r="G92" s="234">
        <v>0</v>
      </c>
      <c r="H92" s="234">
        <v>2</v>
      </c>
      <c r="I92" s="234">
        <v>0</v>
      </c>
      <c r="J92" s="234">
        <v>0</v>
      </c>
      <c r="K92" s="234">
        <v>0</v>
      </c>
      <c r="L92" s="234">
        <v>0</v>
      </c>
      <c r="M92" s="234">
        <v>0</v>
      </c>
      <c r="N92" s="234">
        <v>0</v>
      </c>
      <c r="O92" s="234">
        <v>0</v>
      </c>
      <c r="P92" s="234">
        <v>0</v>
      </c>
      <c r="Q92" s="234">
        <v>0</v>
      </c>
      <c r="R92" s="234">
        <v>0</v>
      </c>
      <c r="S92" s="234">
        <v>3</v>
      </c>
      <c r="T92" s="234">
        <v>3</v>
      </c>
      <c r="U92" s="234">
        <v>0</v>
      </c>
      <c r="V92" s="234">
        <v>0</v>
      </c>
      <c r="W92" s="144">
        <f t="shared" si="6"/>
        <v>9.5</v>
      </c>
      <c r="X92" s="145">
        <v>7</v>
      </c>
    </row>
    <row r="93" spans="1:24" ht="19.5">
      <c r="A93" s="164">
        <v>5</v>
      </c>
      <c r="B93" s="179">
        <v>4</v>
      </c>
      <c r="C93" s="175" t="s">
        <v>53</v>
      </c>
      <c r="D93" s="244">
        <v>28.5</v>
      </c>
      <c r="E93" s="144">
        <v>2.25</v>
      </c>
      <c r="F93" s="144">
        <v>0</v>
      </c>
      <c r="G93" s="144">
        <v>0</v>
      </c>
      <c r="H93" s="144">
        <v>0</v>
      </c>
      <c r="I93" s="144">
        <v>0</v>
      </c>
      <c r="J93" s="144">
        <v>0</v>
      </c>
      <c r="K93" s="144">
        <v>0</v>
      </c>
      <c r="L93" s="144">
        <v>0</v>
      </c>
      <c r="M93" s="144">
        <v>0</v>
      </c>
      <c r="N93" s="144">
        <v>0</v>
      </c>
      <c r="O93" s="144">
        <v>0</v>
      </c>
      <c r="P93" s="144">
        <v>0</v>
      </c>
      <c r="Q93" s="144">
        <v>0</v>
      </c>
      <c r="R93" s="144">
        <v>0</v>
      </c>
      <c r="S93" s="144">
        <v>0</v>
      </c>
      <c r="T93" s="144">
        <v>0</v>
      </c>
      <c r="U93" s="144">
        <v>0</v>
      </c>
      <c r="V93" s="144">
        <v>0</v>
      </c>
      <c r="W93" s="144">
        <f t="shared" si="6"/>
        <v>2.25</v>
      </c>
      <c r="X93" s="145">
        <v>7</v>
      </c>
    </row>
    <row r="94" spans="1:24" ht="19.5">
      <c r="A94" s="165">
        <v>6</v>
      </c>
      <c r="B94" s="184">
        <v>4</v>
      </c>
      <c r="C94" s="176" t="s">
        <v>52</v>
      </c>
      <c r="D94" s="244">
        <v>20.25</v>
      </c>
      <c r="E94" s="144">
        <v>1.5</v>
      </c>
      <c r="F94" s="144">
        <v>0.5</v>
      </c>
      <c r="G94" s="144">
        <v>0</v>
      </c>
      <c r="H94" s="144">
        <v>2</v>
      </c>
      <c r="I94" s="144">
        <v>0</v>
      </c>
      <c r="J94" s="144">
        <v>0</v>
      </c>
      <c r="K94" s="144">
        <v>0</v>
      </c>
      <c r="L94" s="144">
        <v>0</v>
      </c>
      <c r="M94" s="144">
        <v>0</v>
      </c>
      <c r="N94" s="144">
        <v>0</v>
      </c>
      <c r="O94" s="144">
        <v>0</v>
      </c>
      <c r="P94" s="144">
        <v>0</v>
      </c>
      <c r="Q94" s="144">
        <v>0</v>
      </c>
      <c r="R94" s="144">
        <v>0</v>
      </c>
      <c r="S94" s="144">
        <v>0</v>
      </c>
      <c r="T94" s="144">
        <v>0</v>
      </c>
      <c r="U94" s="144">
        <v>0</v>
      </c>
      <c r="V94" s="144">
        <v>0</v>
      </c>
      <c r="W94" s="144">
        <f t="shared" si="6"/>
        <v>4</v>
      </c>
      <c r="X94" s="145">
        <v>7</v>
      </c>
    </row>
    <row r="95" spans="1:24" ht="19.5">
      <c r="A95" s="164">
        <v>7</v>
      </c>
      <c r="B95" s="179">
        <v>4</v>
      </c>
      <c r="C95" s="175" t="s">
        <v>332</v>
      </c>
      <c r="D95" s="244">
        <v>10.75</v>
      </c>
      <c r="E95" s="144">
        <v>0</v>
      </c>
      <c r="F95" s="144">
        <v>1.5</v>
      </c>
      <c r="G95" s="144">
        <v>0</v>
      </c>
      <c r="H95" s="144">
        <v>0</v>
      </c>
      <c r="I95" s="144">
        <v>0</v>
      </c>
      <c r="J95" s="144">
        <v>0</v>
      </c>
      <c r="K95" s="144">
        <v>0</v>
      </c>
      <c r="L95" s="144">
        <v>0</v>
      </c>
      <c r="M95" s="144">
        <v>0</v>
      </c>
      <c r="N95" s="144">
        <v>0</v>
      </c>
      <c r="O95" s="144">
        <v>0</v>
      </c>
      <c r="P95" s="144">
        <v>0</v>
      </c>
      <c r="Q95" s="144">
        <v>0</v>
      </c>
      <c r="R95" s="144">
        <v>0</v>
      </c>
      <c r="S95" s="144">
        <v>0</v>
      </c>
      <c r="T95" s="144">
        <v>0</v>
      </c>
      <c r="U95" s="144">
        <v>0</v>
      </c>
      <c r="V95" s="144">
        <v>0</v>
      </c>
      <c r="W95" s="144">
        <f t="shared" si="6"/>
        <v>1.5</v>
      </c>
      <c r="X95" s="145">
        <v>7</v>
      </c>
    </row>
    <row r="96" spans="1:24" ht="19.5">
      <c r="A96" s="300">
        <v>8</v>
      </c>
      <c r="B96" s="184">
        <v>4</v>
      </c>
      <c r="C96" s="239" t="s">
        <v>370</v>
      </c>
      <c r="D96" s="301">
        <v>5.5</v>
      </c>
      <c r="E96" s="302">
        <v>0</v>
      </c>
      <c r="F96" s="302">
        <v>0.5</v>
      </c>
      <c r="G96" s="302">
        <v>0</v>
      </c>
      <c r="H96" s="302">
        <v>2</v>
      </c>
      <c r="I96" s="302">
        <v>0</v>
      </c>
      <c r="J96" s="302">
        <v>0</v>
      </c>
      <c r="K96" s="302">
        <v>0</v>
      </c>
      <c r="L96" s="302">
        <v>0</v>
      </c>
      <c r="M96" s="302">
        <v>0</v>
      </c>
      <c r="N96" s="302">
        <v>0</v>
      </c>
      <c r="O96" s="302">
        <v>0</v>
      </c>
      <c r="P96" s="302">
        <v>0</v>
      </c>
      <c r="Q96" s="302">
        <v>0</v>
      </c>
      <c r="R96" s="302">
        <v>0</v>
      </c>
      <c r="S96" s="302">
        <v>0</v>
      </c>
      <c r="T96" s="302">
        <v>0</v>
      </c>
      <c r="U96" s="302">
        <v>0</v>
      </c>
      <c r="V96" s="302">
        <v>0</v>
      </c>
      <c r="W96" s="146">
        <f t="shared" si="6"/>
        <v>2.5</v>
      </c>
      <c r="X96" s="303">
        <v>7</v>
      </c>
    </row>
    <row r="97" spans="1:24" ht="19.5">
      <c r="A97" s="391">
        <v>9</v>
      </c>
      <c r="B97" s="179">
        <v>4</v>
      </c>
      <c r="C97" s="392" t="s">
        <v>121</v>
      </c>
      <c r="D97" s="301">
        <v>2.25</v>
      </c>
      <c r="E97" s="146">
        <v>0</v>
      </c>
      <c r="F97" s="146">
        <v>0</v>
      </c>
      <c r="G97" s="146">
        <v>0</v>
      </c>
      <c r="H97" s="146">
        <v>0</v>
      </c>
      <c r="I97" s="146">
        <v>0</v>
      </c>
      <c r="J97" s="146">
        <v>0</v>
      </c>
      <c r="K97" s="146">
        <v>0</v>
      </c>
      <c r="L97" s="146">
        <v>0</v>
      </c>
      <c r="M97" s="146">
        <v>0</v>
      </c>
      <c r="N97" s="146">
        <v>0</v>
      </c>
      <c r="O97" s="146">
        <v>0</v>
      </c>
      <c r="P97" s="146">
        <v>0</v>
      </c>
      <c r="Q97" s="146">
        <v>0</v>
      </c>
      <c r="R97" s="146">
        <v>0</v>
      </c>
      <c r="S97" s="146">
        <v>0</v>
      </c>
      <c r="T97" s="146">
        <v>0</v>
      </c>
      <c r="U97" s="146">
        <v>0</v>
      </c>
      <c r="V97" s="146">
        <v>0</v>
      </c>
      <c r="W97" s="146">
        <f t="shared" si="6"/>
        <v>0</v>
      </c>
      <c r="X97" s="240">
        <v>7</v>
      </c>
    </row>
    <row r="98" spans="1:24" ht="20.25" thickBot="1">
      <c r="A98" s="168">
        <v>10</v>
      </c>
      <c r="B98" s="407">
        <v>4</v>
      </c>
      <c r="C98" s="178" t="s">
        <v>539</v>
      </c>
      <c r="D98" s="246">
        <v>0.75</v>
      </c>
      <c r="E98" s="247">
        <v>0</v>
      </c>
      <c r="F98" s="247">
        <v>0</v>
      </c>
      <c r="G98" s="247">
        <v>0</v>
      </c>
      <c r="H98" s="247">
        <v>0</v>
      </c>
      <c r="I98" s="247">
        <v>0</v>
      </c>
      <c r="J98" s="247">
        <v>0</v>
      </c>
      <c r="K98" s="247">
        <v>0</v>
      </c>
      <c r="L98" s="247">
        <v>0</v>
      </c>
      <c r="M98" s="247">
        <v>0</v>
      </c>
      <c r="N98" s="247">
        <v>0</v>
      </c>
      <c r="O98" s="247">
        <v>0</v>
      </c>
      <c r="P98" s="247">
        <v>0</v>
      </c>
      <c r="Q98" s="247">
        <v>0</v>
      </c>
      <c r="R98" s="247">
        <v>0</v>
      </c>
      <c r="S98" s="247">
        <v>0</v>
      </c>
      <c r="T98" s="247">
        <v>0</v>
      </c>
      <c r="U98" s="247">
        <v>0</v>
      </c>
      <c r="V98" s="247">
        <v>0</v>
      </c>
      <c r="W98" s="160">
        <f t="shared" si="6"/>
        <v>0</v>
      </c>
      <c r="X98" s="248">
        <v>7</v>
      </c>
    </row>
    <row r="99" ht="15.75"/>
    <row r="100" spans="1:24" ht="15.75">
      <c r="A100" s="165"/>
      <c r="B100" s="165"/>
      <c r="C100" s="167"/>
      <c r="D100" s="955" t="s">
        <v>728</v>
      </c>
      <c r="E100" s="956"/>
      <c r="F100" s="956"/>
      <c r="G100" s="956"/>
      <c r="H100" s="956"/>
      <c r="I100" s="956"/>
      <c r="J100" s="956"/>
      <c r="K100" s="956"/>
      <c r="L100" s="956"/>
      <c r="M100" s="956"/>
      <c r="N100" s="956"/>
      <c r="O100" s="956"/>
      <c r="P100" s="956"/>
      <c r="Q100" s="956"/>
      <c r="R100" s="956"/>
      <c r="S100" s="956"/>
      <c r="T100" s="956"/>
      <c r="U100" s="956"/>
      <c r="V100" s="956"/>
      <c r="W100" s="956"/>
      <c r="X100" s="956"/>
    </row>
    <row r="101" spans="1:24" ht="15.75">
      <c r="A101" s="165"/>
      <c r="B101" s="165"/>
      <c r="C101" s="167"/>
      <c r="D101" s="956"/>
      <c r="E101" s="956"/>
      <c r="F101" s="956"/>
      <c r="G101" s="956"/>
      <c r="H101" s="956"/>
      <c r="I101" s="956"/>
      <c r="J101" s="956"/>
      <c r="K101" s="956"/>
      <c r="L101" s="956"/>
      <c r="M101" s="956"/>
      <c r="N101" s="956"/>
      <c r="O101" s="956"/>
      <c r="P101" s="956"/>
      <c r="Q101" s="956"/>
      <c r="R101" s="956"/>
      <c r="S101" s="956"/>
      <c r="T101" s="956"/>
      <c r="U101" s="956"/>
      <c r="V101" s="956"/>
      <c r="W101" s="956"/>
      <c r="X101" s="956"/>
    </row>
    <row r="102" spans="1:24" ht="15.75">
      <c r="A102" s="165"/>
      <c r="B102" s="165"/>
      <c r="C102" s="167"/>
      <c r="D102" s="151" t="s">
        <v>329</v>
      </c>
      <c r="E102" s="140">
        <v>1</v>
      </c>
      <c r="F102" s="140">
        <v>2</v>
      </c>
      <c r="G102" s="140">
        <v>3</v>
      </c>
      <c r="H102" s="140">
        <v>4</v>
      </c>
      <c r="I102" s="140">
        <v>5</v>
      </c>
      <c r="J102" s="140">
        <v>6</v>
      </c>
      <c r="K102" s="140">
        <v>7</v>
      </c>
      <c r="L102" s="140">
        <v>8</v>
      </c>
      <c r="M102" s="140">
        <v>9</v>
      </c>
      <c r="N102" s="140">
        <v>10</v>
      </c>
      <c r="O102" s="140">
        <v>11</v>
      </c>
      <c r="P102" s="140">
        <v>12</v>
      </c>
      <c r="Q102" s="140">
        <v>13</v>
      </c>
      <c r="R102" s="140">
        <v>14</v>
      </c>
      <c r="S102" s="140">
        <v>15</v>
      </c>
      <c r="T102" s="140">
        <v>16</v>
      </c>
      <c r="U102" s="140">
        <v>17</v>
      </c>
      <c r="V102" s="140">
        <v>18</v>
      </c>
      <c r="W102" s="141" t="s">
        <v>310</v>
      </c>
      <c r="X102" s="142"/>
    </row>
    <row r="103" spans="1:24" ht="16.5" thickBot="1">
      <c r="A103" s="168"/>
      <c r="B103" s="168"/>
      <c r="C103" s="169"/>
      <c r="D103" s="155" t="s">
        <v>331</v>
      </c>
      <c r="E103" s="170">
        <v>0.75</v>
      </c>
      <c r="F103" s="170">
        <v>0.25</v>
      </c>
      <c r="G103" s="170">
        <v>3</v>
      </c>
      <c r="H103" s="170">
        <v>2</v>
      </c>
      <c r="I103" s="170">
        <v>0.75</v>
      </c>
      <c r="J103" s="170">
        <v>-3</v>
      </c>
      <c r="K103" s="170">
        <v>-4</v>
      </c>
      <c r="L103" s="170">
        <v>20</v>
      </c>
      <c r="M103" s="170">
        <v>10</v>
      </c>
      <c r="N103" s="170">
        <v>5</v>
      </c>
      <c r="O103" s="170">
        <v>3</v>
      </c>
      <c r="P103" s="170">
        <v>5</v>
      </c>
      <c r="Q103" s="170">
        <v>7</v>
      </c>
      <c r="R103" s="170">
        <v>3</v>
      </c>
      <c r="S103" s="170">
        <v>3</v>
      </c>
      <c r="T103" s="170">
        <v>3</v>
      </c>
      <c r="U103" s="170">
        <v>8.25</v>
      </c>
      <c r="V103" s="170">
        <v>16</v>
      </c>
      <c r="W103" s="156" t="s">
        <v>330</v>
      </c>
      <c r="X103" s="157" t="s">
        <v>310</v>
      </c>
    </row>
    <row r="104" spans="1:24" ht="19.5">
      <c r="A104" s="164">
        <v>1</v>
      </c>
      <c r="B104" s="181">
        <v>5</v>
      </c>
      <c r="C104" s="171" t="s">
        <v>333</v>
      </c>
      <c r="D104" s="244">
        <v>156.5</v>
      </c>
      <c r="E104" s="144">
        <v>2.25</v>
      </c>
      <c r="F104" s="144">
        <v>4.5</v>
      </c>
      <c r="G104" s="144">
        <v>3</v>
      </c>
      <c r="H104" s="144">
        <v>0</v>
      </c>
      <c r="I104" s="144">
        <v>0.75</v>
      </c>
      <c r="J104" s="144">
        <v>0</v>
      </c>
      <c r="K104" s="144">
        <v>0</v>
      </c>
      <c r="L104" s="144">
        <v>20</v>
      </c>
      <c r="M104" s="144">
        <v>0</v>
      </c>
      <c r="N104" s="144">
        <v>0</v>
      </c>
      <c r="O104" s="144">
        <v>3</v>
      </c>
      <c r="P104" s="144">
        <v>5</v>
      </c>
      <c r="Q104" s="144">
        <v>7</v>
      </c>
      <c r="R104" s="144">
        <v>3</v>
      </c>
      <c r="S104" s="144">
        <v>0</v>
      </c>
      <c r="T104" s="144">
        <v>0</v>
      </c>
      <c r="U104" s="144">
        <v>0</v>
      </c>
      <c r="V104" s="144">
        <v>0</v>
      </c>
      <c r="W104" s="144">
        <f aca="true" t="shared" si="7" ref="W104:W113">SUM(E104:V104)</f>
        <v>48.5</v>
      </c>
      <c r="X104" s="145">
        <v>8</v>
      </c>
    </row>
    <row r="105" spans="1:24" ht="19.5">
      <c r="A105" s="389">
        <v>2</v>
      </c>
      <c r="B105" s="438">
        <v>6</v>
      </c>
      <c r="C105" s="507" t="s">
        <v>12</v>
      </c>
      <c r="D105" s="244">
        <v>150</v>
      </c>
      <c r="E105" s="144">
        <v>1.5</v>
      </c>
      <c r="F105" s="144">
        <v>1.5</v>
      </c>
      <c r="G105" s="144">
        <v>0</v>
      </c>
      <c r="H105" s="144">
        <v>2</v>
      </c>
      <c r="I105" s="144">
        <v>0</v>
      </c>
      <c r="J105" s="144">
        <v>0</v>
      </c>
      <c r="K105" s="144">
        <v>0</v>
      </c>
      <c r="L105" s="144">
        <v>0</v>
      </c>
      <c r="M105" s="144">
        <v>0</v>
      </c>
      <c r="N105" s="144">
        <v>0</v>
      </c>
      <c r="O105" s="144">
        <v>0</v>
      </c>
      <c r="P105" s="144">
        <v>0</v>
      </c>
      <c r="Q105" s="144">
        <v>0</v>
      </c>
      <c r="R105" s="144">
        <v>0</v>
      </c>
      <c r="S105" s="144">
        <v>0</v>
      </c>
      <c r="T105" s="144">
        <v>3</v>
      </c>
      <c r="U105" s="144">
        <v>0</v>
      </c>
      <c r="V105" s="144">
        <v>0</v>
      </c>
      <c r="W105" s="144">
        <f>SUM(E105:V105)</f>
        <v>8</v>
      </c>
      <c r="X105" s="145">
        <v>8</v>
      </c>
    </row>
    <row r="106" spans="1:24" ht="19.5">
      <c r="A106" s="164">
        <v>3</v>
      </c>
      <c r="B106" s="179">
        <v>4</v>
      </c>
      <c r="C106" s="175" t="s">
        <v>8</v>
      </c>
      <c r="D106" s="244">
        <v>75.75</v>
      </c>
      <c r="E106" s="144">
        <v>1.5</v>
      </c>
      <c r="F106" s="144">
        <v>0</v>
      </c>
      <c r="G106" s="144">
        <v>0</v>
      </c>
      <c r="H106" s="144">
        <v>2</v>
      </c>
      <c r="I106" s="144">
        <v>0</v>
      </c>
      <c r="J106" s="144">
        <v>0</v>
      </c>
      <c r="K106" s="144">
        <v>0</v>
      </c>
      <c r="L106" s="144">
        <v>0</v>
      </c>
      <c r="M106" s="144">
        <v>0</v>
      </c>
      <c r="N106" s="144">
        <v>0</v>
      </c>
      <c r="O106" s="144">
        <v>0</v>
      </c>
      <c r="P106" s="144">
        <v>0</v>
      </c>
      <c r="Q106" s="144">
        <v>0</v>
      </c>
      <c r="R106" s="144">
        <v>0</v>
      </c>
      <c r="S106" s="144">
        <v>3</v>
      </c>
      <c r="T106" s="144">
        <v>0</v>
      </c>
      <c r="U106" s="144">
        <v>0</v>
      </c>
      <c r="V106" s="144">
        <v>0</v>
      </c>
      <c r="W106" s="144">
        <f t="shared" si="7"/>
        <v>6.5</v>
      </c>
      <c r="X106" s="145">
        <v>8</v>
      </c>
    </row>
    <row r="107" spans="1:24" ht="19.5">
      <c r="A107" s="389">
        <v>4</v>
      </c>
      <c r="B107" s="184">
        <v>4</v>
      </c>
      <c r="C107" s="390" t="s">
        <v>10</v>
      </c>
      <c r="D107" s="244">
        <v>51</v>
      </c>
      <c r="E107" s="234">
        <v>0</v>
      </c>
      <c r="F107" s="234">
        <v>1.25</v>
      </c>
      <c r="G107" s="234">
        <v>0</v>
      </c>
      <c r="H107" s="234">
        <v>0</v>
      </c>
      <c r="I107" s="234">
        <v>0</v>
      </c>
      <c r="J107" s="234">
        <v>0</v>
      </c>
      <c r="K107" s="234">
        <v>0</v>
      </c>
      <c r="L107" s="234">
        <v>0</v>
      </c>
      <c r="M107" s="234">
        <v>0</v>
      </c>
      <c r="N107" s="234">
        <v>0</v>
      </c>
      <c r="O107" s="234">
        <v>0</v>
      </c>
      <c r="P107" s="234">
        <v>0</v>
      </c>
      <c r="Q107" s="234">
        <v>0</v>
      </c>
      <c r="R107" s="234">
        <v>0</v>
      </c>
      <c r="S107" s="234">
        <v>0</v>
      </c>
      <c r="T107" s="234">
        <v>0</v>
      </c>
      <c r="U107" s="234">
        <v>0</v>
      </c>
      <c r="V107" s="234">
        <v>0</v>
      </c>
      <c r="W107" s="144">
        <f t="shared" si="7"/>
        <v>1.25</v>
      </c>
      <c r="X107" s="145">
        <v>8</v>
      </c>
    </row>
    <row r="108" spans="1:24" ht="19.5">
      <c r="A108" s="164">
        <v>5</v>
      </c>
      <c r="B108" s="179">
        <v>4</v>
      </c>
      <c r="C108" s="175" t="s">
        <v>53</v>
      </c>
      <c r="D108" s="244">
        <v>30</v>
      </c>
      <c r="E108" s="144">
        <v>1.5</v>
      </c>
      <c r="F108" s="144">
        <v>0</v>
      </c>
      <c r="G108" s="144">
        <v>0</v>
      </c>
      <c r="H108" s="144">
        <v>0</v>
      </c>
      <c r="I108" s="144">
        <v>0</v>
      </c>
      <c r="J108" s="144">
        <v>0</v>
      </c>
      <c r="K108" s="144">
        <v>0</v>
      </c>
      <c r="L108" s="144">
        <v>0</v>
      </c>
      <c r="M108" s="144">
        <v>0</v>
      </c>
      <c r="N108" s="144">
        <v>0</v>
      </c>
      <c r="O108" s="144">
        <v>0</v>
      </c>
      <c r="P108" s="144">
        <v>0</v>
      </c>
      <c r="Q108" s="144">
        <v>0</v>
      </c>
      <c r="R108" s="144">
        <v>0</v>
      </c>
      <c r="S108" s="144">
        <v>0</v>
      </c>
      <c r="T108" s="144">
        <v>0</v>
      </c>
      <c r="U108" s="144">
        <v>0</v>
      </c>
      <c r="V108" s="144">
        <v>0</v>
      </c>
      <c r="W108" s="144">
        <f t="shared" si="7"/>
        <v>1.5</v>
      </c>
      <c r="X108" s="145">
        <v>8</v>
      </c>
    </row>
    <row r="109" spans="1:24" ht="19.5">
      <c r="A109" s="165">
        <v>6</v>
      </c>
      <c r="B109" s="184">
        <v>4</v>
      </c>
      <c r="C109" s="176" t="s">
        <v>52</v>
      </c>
      <c r="D109" s="244">
        <v>23</v>
      </c>
      <c r="E109" s="144">
        <v>2.25</v>
      </c>
      <c r="F109" s="144">
        <v>0.5</v>
      </c>
      <c r="G109" s="144">
        <v>0</v>
      </c>
      <c r="H109" s="144">
        <v>0</v>
      </c>
      <c r="I109" s="144">
        <v>0</v>
      </c>
      <c r="J109" s="144">
        <v>0</v>
      </c>
      <c r="K109" s="144">
        <v>0</v>
      </c>
      <c r="L109" s="144">
        <v>0</v>
      </c>
      <c r="M109" s="144">
        <v>0</v>
      </c>
      <c r="N109" s="144">
        <v>0</v>
      </c>
      <c r="O109" s="144">
        <v>0</v>
      </c>
      <c r="P109" s="144">
        <v>0</v>
      </c>
      <c r="Q109" s="144">
        <v>0</v>
      </c>
      <c r="R109" s="144">
        <v>0</v>
      </c>
      <c r="S109" s="144">
        <v>0</v>
      </c>
      <c r="T109" s="144">
        <v>0</v>
      </c>
      <c r="U109" s="144">
        <v>0</v>
      </c>
      <c r="V109" s="144">
        <v>0</v>
      </c>
      <c r="W109" s="144">
        <f t="shared" si="7"/>
        <v>2.75</v>
      </c>
      <c r="X109" s="145">
        <v>8</v>
      </c>
    </row>
    <row r="110" spans="1:24" ht="19.5">
      <c r="A110" s="164">
        <v>7</v>
      </c>
      <c r="B110" s="179">
        <v>4</v>
      </c>
      <c r="C110" s="175" t="s">
        <v>332</v>
      </c>
      <c r="D110" s="244">
        <v>11.5</v>
      </c>
      <c r="E110" s="144">
        <v>0</v>
      </c>
      <c r="F110" s="144">
        <v>0.75</v>
      </c>
      <c r="G110" s="144">
        <v>0</v>
      </c>
      <c r="H110" s="144">
        <v>0</v>
      </c>
      <c r="I110" s="144">
        <v>0</v>
      </c>
      <c r="J110" s="144">
        <v>0</v>
      </c>
      <c r="K110" s="144">
        <v>0</v>
      </c>
      <c r="L110" s="144">
        <v>0</v>
      </c>
      <c r="M110" s="144">
        <v>0</v>
      </c>
      <c r="N110" s="144">
        <v>0</v>
      </c>
      <c r="O110" s="144">
        <v>0</v>
      </c>
      <c r="P110" s="144">
        <v>0</v>
      </c>
      <c r="Q110" s="144">
        <v>0</v>
      </c>
      <c r="R110" s="144">
        <v>0</v>
      </c>
      <c r="S110" s="144">
        <v>0</v>
      </c>
      <c r="T110" s="144">
        <v>0</v>
      </c>
      <c r="U110" s="144">
        <v>0</v>
      </c>
      <c r="V110" s="144">
        <v>0</v>
      </c>
      <c r="W110" s="144">
        <f t="shared" si="7"/>
        <v>0.75</v>
      </c>
      <c r="X110" s="145">
        <v>8</v>
      </c>
    </row>
    <row r="111" spans="1:24" ht="19.5">
      <c r="A111" s="300">
        <v>8</v>
      </c>
      <c r="B111" s="184">
        <v>4</v>
      </c>
      <c r="C111" s="239" t="s">
        <v>370</v>
      </c>
      <c r="D111" s="301">
        <v>6.25</v>
      </c>
      <c r="E111" s="302">
        <v>0</v>
      </c>
      <c r="F111" s="302">
        <v>0.75</v>
      </c>
      <c r="G111" s="302">
        <v>0</v>
      </c>
      <c r="H111" s="302">
        <v>0</v>
      </c>
      <c r="I111" s="302">
        <v>0</v>
      </c>
      <c r="J111" s="302">
        <v>0</v>
      </c>
      <c r="K111" s="302">
        <v>0</v>
      </c>
      <c r="L111" s="302">
        <v>0</v>
      </c>
      <c r="M111" s="302">
        <v>0</v>
      </c>
      <c r="N111" s="302">
        <v>0</v>
      </c>
      <c r="O111" s="302">
        <v>0</v>
      </c>
      <c r="P111" s="302">
        <v>0</v>
      </c>
      <c r="Q111" s="302">
        <v>0</v>
      </c>
      <c r="R111" s="302">
        <v>0</v>
      </c>
      <c r="S111" s="302">
        <v>0</v>
      </c>
      <c r="T111" s="302">
        <v>0</v>
      </c>
      <c r="U111" s="302">
        <v>0</v>
      </c>
      <c r="V111" s="302">
        <v>0</v>
      </c>
      <c r="W111" s="146">
        <f t="shared" si="7"/>
        <v>0.75</v>
      </c>
      <c r="X111" s="303">
        <v>8</v>
      </c>
    </row>
    <row r="112" spans="1:24" ht="19.5">
      <c r="A112" s="391">
        <v>9</v>
      </c>
      <c r="B112" s="179">
        <v>4</v>
      </c>
      <c r="C112" s="392" t="s">
        <v>121</v>
      </c>
      <c r="D112" s="301">
        <v>2.25</v>
      </c>
      <c r="E112" s="146">
        <v>0</v>
      </c>
      <c r="F112" s="146">
        <v>0</v>
      </c>
      <c r="G112" s="146">
        <v>0</v>
      </c>
      <c r="H112" s="146">
        <v>0</v>
      </c>
      <c r="I112" s="146">
        <v>0</v>
      </c>
      <c r="J112" s="146">
        <v>0</v>
      </c>
      <c r="K112" s="146">
        <v>0</v>
      </c>
      <c r="L112" s="146">
        <v>0</v>
      </c>
      <c r="M112" s="146">
        <v>0</v>
      </c>
      <c r="N112" s="146">
        <v>0</v>
      </c>
      <c r="O112" s="146">
        <v>0</v>
      </c>
      <c r="P112" s="146">
        <v>0</v>
      </c>
      <c r="Q112" s="146">
        <v>0</v>
      </c>
      <c r="R112" s="146">
        <v>0</v>
      </c>
      <c r="S112" s="146">
        <v>0</v>
      </c>
      <c r="T112" s="146">
        <v>0</v>
      </c>
      <c r="U112" s="146">
        <v>0</v>
      </c>
      <c r="V112" s="146">
        <v>0</v>
      </c>
      <c r="W112" s="146">
        <f t="shared" si="7"/>
        <v>0</v>
      </c>
      <c r="X112" s="240">
        <v>8</v>
      </c>
    </row>
    <row r="113" spans="1:24" ht="20.25" thickBot="1">
      <c r="A113" s="168">
        <v>10</v>
      </c>
      <c r="B113" s="407">
        <v>4</v>
      </c>
      <c r="C113" s="178" t="s">
        <v>539</v>
      </c>
      <c r="D113" s="246">
        <v>0.75</v>
      </c>
      <c r="E113" s="247">
        <v>0</v>
      </c>
      <c r="F113" s="247">
        <v>0</v>
      </c>
      <c r="G113" s="247">
        <v>0</v>
      </c>
      <c r="H113" s="247">
        <v>0</v>
      </c>
      <c r="I113" s="247">
        <v>0</v>
      </c>
      <c r="J113" s="247">
        <v>0</v>
      </c>
      <c r="K113" s="247">
        <v>0</v>
      </c>
      <c r="L113" s="247">
        <v>0</v>
      </c>
      <c r="M113" s="247">
        <v>0</v>
      </c>
      <c r="N113" s="247">
        <v>0</v>
      </c>
      <c r="O113" s="247">
        <v>0</v>
      </c>
      <c r="P113" s="247">
        <v>0</v>
      </c>
      <c r="Q113" s="247">
        <v>0</v>
      </c>
      <c r="R113" s="247">
        <v>0</v>
      </c>
      <c r="S113" s="247">
        <v>0</v>
      </c>
      <c r="T113" s="247">
        <v>0</v>
      </c>
      <c r="U113" s="247">
        <v>0</v>
      </c>
      <c r="V113" s="247">
        <v>0</v>
      </c>
      <c r="W113" s="160">
        <f t="shared" si="7"/>
        <v>0</v>
      </c>
      <c r="X113" s="248">
        <v>8</v>
      </c>
    </row>
    <row r="114" ht="15.75"/>
    <row r="115" spans="1:24" ht="15.75">
      <c r="A115" s="165"/>
      <c r="B115" s="165"/>
      <c r="C115" s="167"/>
      <c r="D115" s="955" t="s">
        <v>729</v>
      </c>
      <c r="E115" s="956"/>
      <c r="F115" s="956"/>
      <c r="G115" s="956"/>
      <c r="H115" s="956"/>
      <c r="I115" s="956"/>
      <c r="J115" s="956"/>
      <c r="K115" s="956"/>
      <c r="L115" s="956"/>
      <c r="M115" s="956"/>
      <c r="N115" s="956"/>
      <c r="O115" s="956"/>
      <c r="P115" s="956"/>
      <c r="Q115" s="956"/>
      <c r="R115" s="956"/>
      <c r="S115" s="956"/>
      <c r="T115" s="956"/>
      <c r="U115" s="956"/>
      <c r="V115" s="956"/>
      <c r="W115" s="956"/>
      <c r="X115" s="956"/>
    </row>
    <row r="116" spans="1:24" ht="15.75">
      <c r="A116" s="165"/>
      <c r="B116" s="165"/>
      <c r="C116" s="167"/>
      <c r="D116" s="956"/>
      <c r="E116" s="956"/>
      <c r="F116" s="956"/>
      <c r="G116" s="956"/>
      <c r="H116" s="956"/>
      <c r="I116" s="956"/>
      <c r="J116" s="956"/>
      <c r="K116" s="956"/>
      <c r="L116" s="956"/>
      <c r="M116" s="956"/>
      <c r="N116" s="956"/>
      <c r="O116" s="956"/>
      <c r="P116" s="956"/>
      <c r="Q116" s="956"/>
      <c r="R116" s="956"/>
      <c r="S116" s="956"/>
      <c r="T116" s="956"/>
      <c r="U116" s="956"/>
      <c r="V116" s="956"/>
      <c r="W116" s="956"/>
      <c r="X116" s="956"/>
    </row>
    <row r="117" spans="1:24" ht="15.75">
      <c r="A117" s="165"/>
      <c r="B117" s="165"/>
      <c r="C117" s="167"/>
      <c r="D117" s="151" t="s">
        <v>329</v>
      </c>
      <c r="E117" s="140">
        <v>1</v>
      </c>
      <c r="F117" s="140">
        <v>2</v>
      </c>
      <c r="G117" s="140">
        <v>3</v>
      </c>
      <c r="H117" s="140">
        <v>4</v>
      </c>
      <c r="I117" s="140">
        <v>5</v>
      </c>
      <c r="J117" s="140">
        <v>6</v>
      </c>
      <c r="K117" s="140">
        <v>7</v>
      </c>
      <c r="L117" s="140">
        <v>8</v>
      </c>
      <c r="M117" s="140">
        <v>9</v>
      </c>
      <c r="N117" s="140">
        <v>10</v>
      </c>
      <c r="O117" s="140">
        <v>11</v>
      </c>
      <c r="P117" s="140">
        <v>12</v>
      </c>
      <c r="Q117" s="140">
        <v>13</v>
      </c>
      <c r="R117" s="140">
        <v>14</v>
      </c>
      <c r="S117" s="140">
        <v>15</v>
      </c>
      <c r="T117" s="140">
        <v>16</v>
      </c>
      <c r="U117" s="140">
        <v>17</v>
      </c>
      <c r="V117" s="140">
        <v>18</v>
      </c>
      <c r="W117" s="141" t="s">
        <v>310</v>
      </c>
      <c r="X117" s="142"/>
    </row>
    <row r="118" spans="1:24" ht="16.5" thickBot="1">
      <c r="A118" s="168"/>
      <c r="B118" s="168"/>
      <c r="C118" s="169"/>
      <c r="D118" s="155" t="s">
        <v>331</v>
      </c>
      <c r="E118" s="170">
        <v>0.75</v>
      </c>
      <c r="F118" s="170">
        <v>0.25</v>
      </c>
      <c r="G118" s="170">
        <v>3</v>
      </c>
      <c r="H118" s="170">
        <v>2</v>
      </c>
      <c r="I118" s="170">
        <v>0.75</v>
      </c>
      <c r="J118" s="170">
        <v>-3</v>
      </c>
      <c r="K118" s="170">
        <v>-4</v>
      </c>
      <c r="L118" s="170">
        <v>20</v>
      </c>
      <c r="M118" s="170">
        <v>10</v>
      </c>
      <c r="N118" s="170">
        <v>5</v>
      </c>
      <c r="O118" s="170">
        <v>3</v>
      </c>
      <c r="P118" s="170">
        <v>5</v>
      </c>
      <c r="Q118" s="170">
        <v>7</v>
      </c>
      <c r="R118" s="170">
        <v>3</v>
      </c>
      <c r="S118" s="170">
        <v>3</v>
      </c>
      <c r="T118" s="170">
        <v>3</v>
      </c>
      <c r="U118" s="170">
        <v>8.25</v>
      </c>
      <c r="V118" s="170">
        <v>16</v>
      </c>
      <c r="W118" s="156" t="s">
        <v>330</v>
      </c>
      <c r="X118" s="157" t="s">
        <v>310</v>
      </c>
    </row>
    <row r="119" spans="1:24" ht="19.5">
      <c r="A119" s="164">
        <v>1</v>
      </c>
      <c r="B119" s="181">
        <v>5</v>
      </c>
      <c r="C119" s="171" t="s">
        <v>333</v>
      </c>
      <c r="D119" s="244">
        <v>168</v>
      </c>
      <c r="E119" s="144">
        <v>4.5</v>
      </c>
      <c r="F119" s="144">
        <v>4.25</v>
      </c>
      <c r="G119" s="144">
        <v>0</v>
      </c>
      <c r="H119" s="144">
        <v>2</v>
      </c>
      <c r="I119" s="144">
        <v>0.75</v>
      </c>
      <c r="J119" s="144">
        <v>0</v>
      </c>
      <c r="K119" s="144">
        <v>0</v>
      </c>
      <c r="L119" s="144"/>
      <c r="M119" s="144"/>
      <c r="N119" s="144"/>
      <c r="O119" s="144"/>
      <c r="P119" s="144"/>
      <c r="Q119" s="144"/>
      <c r="R119" s="144"/>
      <c r="S119" s="144"/>
      <c r="T119" s="144"/>
      <c r="U119" s="144"/>
      <c r="V119" s="144"/>
      <c r="W119" s="144">
        <f>SUM(E119:V119)</f>
        <v>11.5</v>
      </c>
      <c r="X119" s="145">
        <v>9</v>
      </c>
    </row>
    <row r="120" spans="1:24" ht="19.5">
      <c r="A120" s="389">
        <v>2</v>
      </c>
      <c r="B120" s="438">
        <v>6</v>
      </c>
      <c r="C120" s="507" t="s">
        <v>12</v>
      </c>
      <c r="D120" s="244">
        <v>153</v>
      </c>
      <c r="E120" s="144">
        <v>1.5</v>
      </c>
      <c r="F120" s="144">
        <v>1.5</v>
      </c>
      <c r="G120" s="144">
        <v>0</v>
      </c>
      <c r="H120" s="144">
        <v>0</v>
      </c>
      <c r="I120" s="144">
        <v>0</v>
      </c>
      <c r="J120" s="144">
        <v>0</v>
      </c>
      <c r="K120" s="144">
        <v>0</v>
      </c>
      <c r="L120" s="144"/>
      <c r="M120" s="144"/>
      <c r="N120" s="144"/>
      <c r="O120" s="144"/>
      <c r="P120" s="144"/>
      <c r="Q120" s="144"/>
      <c r="R120" s="144"/>
      <c r="S120" s="144"/>
      <c r="T120" s="144"/>
      <c r="U120" s="144"/>
      <c r="V120" s="144"/>
      <c r="W120" s="144">
        <f aca="true" t="shared" si="8" ref="W120:W128">SUM(E120:V120)</f>
        <v>3</v>
      </c>
      <c r="X120" s="145">
        <v>9</v>
      </c>
    </row>
    <row r="121" spans="1:24" ht="19.5">
      <c r="A121" s="164">
        <v>3</v>
      </c>
      <c r="B121" s="179">
        <v>4</v>
      </c>
      <c r="C121" s="175" t="s">
        <v>8</v>
      </c>
      <c r="D121" s="244">
        <v>77</v>
      </c>
      <c r="E121" s="144">
        <v>0.75</v>
      </c>
      <c r="F121" s="144">
        <v>0.5</v>
      </c>
      <c r="G121" s="144">
        <v>0</v>
      </c>
      <c r="H121" s="144">
        <v>0</v>
      </c>
      <c r="I121" s="144">
        <v>0</v>
      </c>
      <c r="J121" s="144">
        <v>0</v>
      </c>
      <c r="K121" s="144">
        <v>0</v>
      </c>
      <c r="L121" s="144"/>
      <c r="M121" s="144"/>
      <c r="N121" s="144"/>
      <c r="O121" s="144"/>
      <c r="P121" s="144"/>
      <c r="Q121" s="144"/>
      <c r="R121" s="144"/>
      <c r="S121" s="144"/>
      <c r="T121" s="144"/>
      <c r="U121" s="144"/>
      <c r="V121" s="144"/>
      <c r="W121" s="144">
        <f t="shared" si="8"/>
        <v>1.25</v>
      </c>
      <c r="X121" s="145">
        <v>9</v>
      </c>
    </row>
    <row r="122" spans="1:24" ht="19.5">
      <c r="A122" s="389">
        <v>4</v>
      </c>
      <c r="B122" s="184">
        <v>4</v>
      </c>
      <c r="C122" s="390" t="s">
        <v>10</v>
      </c>
      <c r="D122" s="244">
        <v>52</v>
      </c>
      <c r="E122" s="234">
        <v>0</v>
      </c>
      <c r="F122" s="234">
        <v>1</v>
      </c>
      <c r="G122" s="234">
        <v>0</v>
      </c>
      <c r="H122" s="234">
        <v>0</v>
      </c>
      <c r="I122" s="234">
        <v>0</v>
      </c>
      <c r="J122" s="234">
        <v>0</v>
      </c>
      <c r="K122" s="234">
        <v>0</v>
      </c>
      <c r="L122" s="234"/>
      <c r="M122" s="234"/>
      <c r="N122" s="234"/>
      <c r="O122" s="234"/>
      <c r="P122" s="234"/>
      <c r="Q122" s="234"/>
      <c r="R122" s="234"/>
      <c r="S122" s="234"/>
      <c r="T122" s="234"/>
      <c r="U122" s="234"/>
      <c r="V122" s="234"/>
      <c r="W122" s="144">
        <f t="shared" si="8"/>
        <v>1</v>
      </c>
      <c r="X122" s="145">
        <v>9</v>
      </c>
    </row>
    <row r="123" spans="1:24" ht="19.5">
      <c r="A123" s="164">
        <v>5</v>
      </c>
      <c r="B123" s="179">
        <v>4</v>
      </c>
      <c r="C123" s="175" t="s">
        <v>53</v>
      </c>
      <c r="D123" s="244">
        <v>31</v>
      </c>
      <c r="E123" s="144">
        <v>0.75</v>
      </c>
      <c r="F123" s="144">
        <v>0.25</v>
      </c>
      <c r="G123" s="144">
        <v>0</v>
      </c>
      <c r="H123" s="144">
        <v>0</v>
      </c>
      <c r="I123" s="144">
        <v>0</v>
      </c>
      <c r="J123" s="144">
        <v>0</v>
      </c>
      <c r="K123" s="144">
        <v>0</v>
      </c>
      <c r="L123" s="144"/>
      <c r="M123" s="144"/>
      <c r="N123" s="144"/>
      <c r="O123" s="144"/>
      <c r="P123" s="144"/>
      <c r="Q123" s="144"/>
      <c r="R123" s="144"/>
      <c r="S123" s="144"/>
      <c r="T123" s="144"/>
      <c r="U123" s="144"/>
      <c r="V123" s="144"/>
      <c r="W123" s="144">
        <f t="shared" si="8"/>
        <v>1</v>
      </c>
      <c r="X123" s="145">
        <v>9</v>
      </c>
    </row>
    <row r="124" spans="1:24" ht="19.5">
      <c r="A124" s="165">
        <v>6</v>
      </c>
      <c r="B124" s="184">
        <v>4</v>
      </c>
      <c r="C124" s="176" t="s">
        <v>52</v>
      </c>
      <c r="D124" s="244">
        <v>24.5</v>
      </c>
      <c r="E124" s="144">
        <v>1.5</v>
      </c>
      <c r="F124" s="144">
        <v>0</v>
      </c>
      <c r="G124" s="144">
        <v>0</v>
      </c>
      <c r="H124" s="144">
        <v>0</v>
      </c>
      <c r="I124" s="144">
        <v>0</v>
      </c>
      <c r="J124" s="144">
        <v>0</v>
      </c>
      <c r="K124" s="144">
        <v>0</v>
      </c>
      <c r="L124" s="144"/>
      <c r="M124" s="144"/>
      <c r="N124" s="144"/>
      <c r="O124" s="144"/>
      <c r="P124" s="144"/>
      <c r="Q124" s="144"/>
      <c r="R124" s="144"/>
      <c r="S124" s="144"/>
      <c r="T124" s="144"/>
      <c r="U124" s="144"/>
      <c r="V124" s="144"/>
      <c r="W124" s="144">
        <f t="shared" si="8"/>
        <v>1.5</v>
      </c>
      <c r="X124" s="145">
        <v>9</v>
      </c>
    </row>
    <row r="125" spans="1:24" ht="19.5">
      <c r="A125" s="164">
        <v>7</v>
      </c>
      <c r="B125" s="179">
        <v>4</v>
      </c>
      <c r="C125" s="175" t="s">
        <v>332</v>
      </c>
      <c r="D125" s="244">
        <v>12.75</v>
      </c>
      <c r="E125" s="144">
        <v>0</v>
      </c>
      <c r="F125" s="144">
        <v>1.25</v>
      </c>
      <c r="G125" s="144">
        <v>0</v>
      </c>
      <c r="H125" s="144">
        <v>0</v>
      </c>
      <c r="I125" s="144">
        <v>0</v>
      </c>
      <c r="J125" s="144">
        <v>0</v>
      </c>
      <c r="K125" s="144">
        <v>0</v>
      </c>
      <c r="L125" s="144"/>
      <c r="M125" s="144"/>
      <c r="N125" s="144"/>
      <c r="O125" s="144"/>
      <c r="P125" s="144"/>
      <c r="Q125" s="144"/>
      <c r="R125" s="144"/>
      <c r="S125" s="144"/>
      <c r="T125" s="144"/>
      <c r="U125" s="144"/>
      <c r="V125" s="144"/>
      <c r="W125" s="144">
        <f t="shared" si="8"/>
        <v>1.25</v>
      </c>
      <c r="X125" s="145">
        <v>9</v>
      </c>
    </row>
    <row r="126" spans="1:24" ht="19.5">
      <c r="A126" s="300">
        <v>8</v>
      </c>
      <c r="B126" s="184">
        <v>4</v>
      </c>
      <c r="C126" s="239" t="s">
        <v>370</v>
      </c>
      <c r="D126" s="301">
        <v>6.5</v>
      </c>
      <c r="E126" s="302">
        <v>0</v>
      </c>
      <c r="F126" s="302">
        <v>0.25</v>
      </c>
      <c r="G126" s="302">
        <v>0</v>
      </c>
      <c r="H126" s="302">
        <v>0</v>
      </c>
      <c r="I126" s="302">
        <v>0</v>
      </c>
      <c r="J126" s="302">
        <v>0</v>
      </c>
      <c r="K126" s="302">
        <v>0</v>
      </c>
      <c r="L126" s="302"/>
      <c r="M126" s="302"/>
      <c r="N126" s="302"/>
      <c r="O126" s="302"/>
      <c r="P126" s="302"/>
      <c r="Q126" s="302"/>
      <c r="R126" s="302"/>
      <c r="S126" s="302"/>
      <c r="T126" s="302"/>
      <c r="U126" s="302"/>
      <c r="V126" s="302"/>
      <c r="W126" s="146">
        <f t="shared" si="8"/>
        <v>0.25</v>
      </c>
      <c r="X126" s="303">
        <v>9</v>
      </c>
    </row>
    <row r="127" spans="1:24" ht="19.5">
      <c r="A127" s="391">
        <v>9</v>
      </c>
      <c r="B127" s="179">
        <v>4</v>
      </c>
      <c r="C127" s="392" t="s">
        <v>121</v>
      </c>
      <c r="D127" s="301">
        <v>2.25</v>
      </c>
      <c r="E127" s="146">
        <v>0</v>
      </c>
      <c r="F127" s="146">
        <v>0</v>
      </c>
      <c r="G127" s="146">
        <v>0</v>
      </c>
      <c r="H127" s="146">
        <v>0</v>
      </c>
      <c r="I127" s="146">
        <v>0</v>
      </c>
      <c r="J127" s="146">
        <v>0</v>
      </c>
      <c r="K127" s="146">
        <v>0</v>
      </c>
      <c r="L127" s="146"/>
      <c r="M127" s="146"/>
      <c r="N127" s="146"/>
      <c r="O127" s="146"/>
      <c r="P127" s="146"/>
      <c r="Q127" s="146"/>
      <c r="R127" s="146"/>
      <c r="S127" s="146"/>
      <c r="T127" s="146"/>
      <c r="U127" s="146"/>
      <c r="V127" s="146"/>
      <c r="W127" s="146">
        <f t="shared" si="8"/>
        <v>0</v>
      </c>
      <c r="X127" s="240">
        <v>9</v>
      </c>
    </row>
    <row r="128" spans="1:24" ht="20.25" thickBot="1">
      <c r="A128" s="168">
        <v>10</v>
      </c>
      <c r="B128" s="407">
        <v>4</v>
      </c>
      <c r="C128" s="178" t="s">
        <v>539</v>
      </c>
      <c r="D128" s="246">
        <v>0.75</v>
      </c>
      <c r="E128" s="247">
        <v>0</v>
      </c>
      <c r="F128" s="247">
        <v>0</v>
      </c>
      <c r="G128" s="247">
        <v>0</v>
      </c>
      <c r="H128" s="247">
        <v>0</v>
      </c>
      <c r="I128" s="247">
        <v>0</v>
      </c>
      <c r="J128" s="247">
        <v>0</v>
      </c>
      <c r="K128" s="247">
        <v>0</v>
      </c>
      <c r="L128" s="247"/>
      <c r="M128" s="247"/>
      <c r="N128" s="247"/>
      <c r="O128" s="247"/>
      <c r="P128" s="247"/>
      <c r="Q128" s="247"/>
      <c r="R128" s="247"/>
      <c r="S128" s="247"/>
      <c r="T128" s="247"/>
      <c r="U128" s="247"/>
      <c r="V128" s="247"/>
      <c r="W128" s="160">
        <f t="shared" si="8"/>
        <v>0</v>
      </c>
      <c r="X128" s="248">
        <v>9</v>
      </c>
    </row>
  </sheetData>
  <sheetProtection/>
  <mergeCells count="9">
    <mergeCell ref="D115:X116"/>
    <mergeCell ref="D100:X101"/>
    <mergeCell ref="D85:X86"/>
    <mergeCell ref="D1:X2"/>
    <mergeCell ref="D14:X15"/>
    <mergeCell ref="D27:X28"/>
    <mergeCell ref="D41:X42"/>
    <mergeCell ref="D55:X56"/>
    <mergeCell ref="D70:X71"/>
  </mergeCells>
  <printOptions/>
  <pageMargins left="0.7" right="0.7" top="0.75" bottom="0.75" header="0.3" footer="0.3"/>
  <pageSetup orientation="portrait" paperSize="9"/>
  <ignoredErrors>
    <ignoredError sqref="W45:W53 W74:W83 W89:W98 W105:W113 W104 W119:W120 W121:W128" formulaRange="1"/>
  </ignoredErrors>
  <drawing r:id="rId3"/>
  <legacyDrawing r:id="rId2"/>
</worksheet>
</file>

<file path=xl/worksheets/sheet8.xml><?xml version="1.0" encoding="utf-8"?>
<worksheet xmlns="http://schemas.openxmlformats.org/spreadsheetml/2006/main" xmlns:r="http://schemas.openxmlformats.org/officeDocument/2006/relationships">
  <dimension ref="A1:K164"/>
  <sheetViews>
    <sheetView zoomScalePageLayoutView="0" workbookViewId="0" topLeftCell="A1">
      <selection activeCell="A3" sqref="A3"/>
    </sheetView>
  </sheetViews>
  <sheetFormatPr defaultColWidth="4.57421875" defaultRowHeight="12.75"/>
  <cols>
    <col min="1" max="1" width="47.28125" style="163" bestFit="1" customWidth="1"/>
    <col min="2" max="2" width="23.00390625" style="0" bestFit="1" customWidth="1"/>
    <col min="3" max="3" width="7.8515625" style="0" bestFit="1" customWidth="1"/>
    <col min="4" max="4" width="19.7109375" style="0" bestFit="1" customWidth="1"/>
    <col min="5" max="5" width="7.8515625" style="0" bestFit="1" customWidth="1"/>
    <col min="6" max="6" width="5.421875" style="0" bestFit="1" customWidth="1"/>
    <col min="7" max="7" width="14.28125" style="466" bestFit="1" customWidth="1"/>
    <col min="8" max="8" width="10.140625" style="466" bestFit="1" customWidth="1"/>
    <col min="9" max="9" width="12.28125" style="0" bestFit="1" customWidth="1"/>
    <col min="10" max="10" width="11.7109375" style="0" bestFit="1" customWidth="1"/>
    <col min="11" max="11" width="7.8515625" style="0" bestFit="1" customWidth="1"/>
  </cols>
  <sheetData>
    <row r="1" spans="1:11" ht="15">
      <c r="A1" s="941" t="s">
        <v>730</v>
      </c>
      <c r="B1" s="941"/>
      <c r="C1" s="941"/>
      <c r="D1" s="941"/>
      <c r="E1" s="941"/>
      <c r="F1" s="941"/>
      <c r="G1" s="941"/>
      <c r="H1" s="941"/>
      <c r="I1" s="941"/>
      <c r="J1" s="941"/>
      <c r="K1" s="941"/>
    </row>
    <row r="2" spans="1:11" s="346" customFormat="1" ht="11.25">
      <c r="A2" s="345"/>
      <c r="B2" s="345"/>
      <c r="C2" s="345" t="s">
        <v>409</v>
      </c>
      <c r="D2" s="345"/>
      <c r="E2" s="345" t="s">
        <v>410</v>
      </c>
      <c r="F2" s="345"/>
      <c r="G2" s="345" t="s">
        <v>423</v>
      </c>
      <c r="H2" s="345" t="s">
        <v>423</v>
      </c>
      <c r="I2" s="345" t="s">
        <v>314</v>
      </c>
      <c r="J2" s="345"/>
      <c r="K2" s="345" t="s">
        <v>411</v>
      </c>
    </row>
    <row r="3" spans="1:11" s="346" customFormat="1" ht="12" thickBot="1">
      <c r="A3" s="308" t="s">
        <v>424</v>
      </c>
      <c r="B3" s="308" t="s">
        <v>414</v>
      </c>
      <c r="C3" s="308" t="s">
        <v>417</v>
      </c>
      <c r="D3" s="308" t="s">
        <v>418</v>
      </c>
      <c r="E3" s="308" t="s">
        <v>419</v>
      </c>
      <c r="F3" s="308" t="s">
        <v>310</v>
      </c>
      <c r="G3" s="308" t="s">
        <v>315</v>
      </c>
      <c r="H3" s="308" t="s">
        <v>316</v>
      </c>
      <c r="I3" s="308" t="s">
        <v>315</v>
      </c>
      <c r="J3" s="308" t="s">
        <v>314</v>
      </c>
      <c r="K3" s="308" t="s">
        <v>421</v>
      </c>
    </row>
    <row r="4" spans="1:11" ht="15.75">
      <c r="A4" s="724" t="s">
        <v>718</v>
      </c>
      <c r="B4" s="309" t="s">
        <v>719</v>
      </c>
      <c r="C4" s="510">
        <v>40956</v>
      </c>
      <c r="D4" s="224" t="s">
        <v>68</v>
      </c>
      <c r="E4" s="722">
        <v>440</v>
      </c>
      <c r="F4" s="310">
        <v>1</v>
      </c>
      <c r="G4" s="521">
        <v>19448837.72</v>
      </c>
      <c r="H4" s="522">
        <v>2233041</v>
      </c>
      <c r="I4" s="511">
        <f>21413767.22</f>
        <v>21413767.22</v>
      </c>
      <c r="J4" s="523">
        <f>2475453</f>
        <v>2475453</v>
      </c>
      <c r="K4" s="454">
        <v>40956</v>
      </c>
    </row>
    <row r="5" spans="1:11" ht="15.75">
      <c r="A5" s="305" t="s">
        <v>566</v>
      </c>
      <c r="B5" s="61" t="s">
        <v>348</v>
      </c>
      <c r="C5" s="226">
        <v>40935</v>
      </c>
      <c r="D5" s="64" t="s">
        <v>12</v>
      </c>
      <c r="E5" s="272">
        <v>352</v>
      </c>
      <c r="F5" s="264">
        <v>1</v>
      </c>
      <c r="G5" s="288">
        <v>8393381</v>
      </c>
      <c r="H5" s="289">
        <v>889193</v>
      </c>
      <c r="I5" s="266">
        <v>8393381</v>
      </c>
      <c r="J5" s="267">
        <v>889193</v>
      </c>
      <c r="K5" s="271">
        <v>40935</v>
      </c>
    </row>
    <row r="6" spans="1:11" ht="15.75">
      <c r="A6" s="305" t="s">
        <v>566</v>
      </c>
      <c r="B6" s="61" t="s">
        <v>348</v>
      </c>
      <c r="C6" s="226">
        <v>40935</v>
      </c>
      <c r="D6" s="64" t="s">
        <v>12</v>
      </c>
      <c r="E6" s="272">
        <v>352</v>
      </c>
      <c r="F6" s="264">
        <v>2</v>
      </c>
      <c r="G6" s="288">
        <v>4819569</v>
      </c>
      <c r="H6" s="289">
        <v>519684</v>
      </c>
      <c r="I6" s="266">
        <v>13213244</v>
      </c>
      <c r="J6" s="267">
        <v>1408858</v>
      </c>
      <c r="K6" s="223">
        <v>40942</v>
      </c>
    </row>
    <row r="7" spans="1:11" ht="15.75">
      <c r="A7" s="305" t="s">
        <v>566</v>
      </c>
      <c r="B7" s="61" t="s">
        <v>348</v>
      </c>
      <c r="C7" s="493">
        <v>40935</v>
      </c>
      <c r="D7" s="64" t="s">
        <v>12</v>
      </c>
      <c r="E7" s="272">
        <v>352</v>
      </c>
      <c r="F7" s="264">
        <v>3</v>
      </c>
      <c r="G7" s="336">
        <v>2549122</v>
      </c>
      <c r="H7" s="337">
        <v>281880</v>
      </c>
      <c r="I7" s="268">
        <v>15762366</v>
      </c>
      <c r="J7" s="269">
        <v>1690738</v>
      </c>
      <c r="K7" s="223">
        <v>40949</v>
      </c>
    </row>
    <row r="8" spans="1:11" ht="15.75">
      <c r="A8" s="305" t="s">
        <v>141</v>
      </c>
      <c r="B8" s="61" t="s">
        <v>142</v>
      </c>
      <c r="C8" s="226">
        <v>40893</v>
      </c>
      <c r="D8" s="64" t="s">
        <v>8</v>
      </c>
      <c r="E8" s="272">
        <v>131</v>
      </c>
      <c r="F8" s="273">
        <v>3</v>
      </c>
      <c r="G8" s="292">
        <v>2464903</v>
      </c>
      <c r="H8" s="293">
        <v>273690</v>
      </c>
      <c r="I8" s="276">
        <v>8604215</v>
      </c>
      <c r="J8" s="278">
        <v>960307</v>
      </c>
      <c r="K8" s="316">
        <v>40907</v>
      </c>
    </row>
    <row r="9" spans="1:11" ht="15.75">
      <c r="A9" s="305" t="s">
        <v>141</v>
      </c>
      <c r="B9" s="61" t="s">
        <v>142</v>
      </c>
      <c r="C9" s="226">
        <v>40893</v>
      </c>
      <c r="D9" s="64" t="s">
        <v>8</v>
      </c>
      <c r="E9" s="262">
        <v>131</v>
      </c>
      <c r="F9" s="217">
        <v>4</v>
      </c>
      <c r="G9" s="312">
        <v>1826075</v>
      </c>
      <c r="H9" s="313">
        <v>198737</v>
      </c>
      <c r="I9" s="314">
        <v>10430290</v>
      </c>
      <c r="J9" s="315">
        <v>1159044</v>
      </c>
      <c r="K9" s="223">
        <v>40914</v>
      </c>
    </row>
    <row r="10" spans="1:11" ht="15.75">
      <c r="A10" s="305" t="s">
        <v>141</v>
      </c>
      <c r="B10" s="61" t="s">
        <v>142</v>
      </c>
      <c r="C10" s="226">
        <v>40893</v>
      </c>
      <c r="D10" s="64" t="s">
        <v>8</v>
      </c>
      <c r="E10" s="272">
        <v>131</v>
      </c>
      <c r="F10" s="273">
        <v>6</v>
      </c>
      <c r="G10" s="373">
        <v>1674165</v>
      </c>
      <c r="H10" s="374">
        <v>188583</v>
      </c>
      <c r="I10" s="274">
        <v>13641012</v>
      </c>
      <c r="J10" s="275">
        <v>1519587</v>
      </c>
      <c r="K10" s="223">
        <v>40928</v>
      </c>
    </row>
    <row r="11" spans="1:11" ht="15.75">
      <c r="A11" s="307" t="s">
        <v>347</v>
      </c>
      <c r="B11" s="61" t="s">
        <v>348</v>
      </c>
      <c r="C11" s="225">
        <v>40914</v>
      </c>
      <c r="D11" s="64" t="s">
        <v>12</v>
      </c>
      <c r="E11" s="259">
        <v>204</v>
      </c>
      <c r="F11" s="220">
        <v>1</v>
      </c>
      <c r="G11" s="317">
        <v>1571916</v>
      </c>
      <c r="H11" s="318">
        <v>166869</v>
      </c>
      <c r="I11" s="319">
        <v>1571916</v>
      </c>
      <c r="J11" s="320">
        <v>166869</v>
      </c>
      <c r="K11" s="223">
        <v>40914</v>
      </c>
    </row>
    <row r="12" spans="1:11" ht="15.75">
      <c r="A12" s="307" t="s">
        <v>347</v>
      </c>
      <c r="B12" s="61" t="s">
        <v>348</v>
      </c>
      <c r="C12" s="225">
        <v>40914</v>
      </c>
      <c r="D12" s="64" t="s">
        <v>12</v>
      </c>
      <c r="E12" s="263">
        <v>204</v>
      </c>
      <c r="F12" s="264">
        <v>2</v>
      </c>
      <c r="G12" s="288">
        <v>1545867</v>
      </c>
      <c r="H12" s="289">
        <v>166896</v>
      </c>
      <c r="I12" s="268">
        <v>3117783</v>
      </c>
      <c r="J12" s="269">
        <v>333765</v>
      </c>
      <c r="K12" s="223">
        <v>40921</v>
      </c>
    </row>
    <row r="13" spans="1:11" ht="15.75">
      <c r="A13" s="305" t="s">
        <v>141</v>
      </c>
      <c r="B13" s="61" t="s">
        <v>142</v>
      </c>
      <c r="C13" s="226">
        <v>40893</v>
      </c>
      <c r="D13" s="64" t="s">
        <v>8</v>
      </c>
      <c r="E13" s="272">
        <v>131</v>
      </c>
      <c r="F13" s="273">
        <v>5</v>
      </c>
      <c r="G13" s="290">
        <v>1536557</v>
      </c>
      <c r="H13" s="291">
        <v>171960</v>
      </c>
      <c r="I13" s="276">
        <v>11382284</v>
      </c>
      <c r="J13" s="278">
        <v>1257533</v>
      </c>
      <c r="K13" s="223">
        <v>40921</v>
      </c>
    </row>
    <row r="14" spans="1:11" ht="15.75">
      <c r="A14" s="305" t="s">
        <v>566</v>
      </c>
      <c r="B14" s="61" t="s">
        <v>348</v>
      </c>
      <c r="C14" s="226">
        <v>40935</v>
      </c>
      <c r="D14" s="64" t="s">
        <v>12</v>
      </c>
      <c r="E14" s="272">
        <v>352</v>
      </c>
      <c r="F14" s="264">
        <v>4</v>
      </c>
      <c r="G14" s="336">
        <v>1192174</v>
      </c>
      <c r="H14" s="337">
        <v>134260</v>
      </c>
      <c r="I14" s="268">
        <v>16954478</v>
      </c>
      <c r="J14" s="269">
        <v>1824977</v>
      </c>
      <c r="K14" s="223">
        <v>40956</v>
      </c>
    </row>
    <row r="15" spans="1:11" ht="15.75">
      <c r="A15" s="307" t="s">
        <v>347</v>
      </c>
      <c r="B15" s="61" t="s">
        <v>348</v>
      </c>
      <c r="C15" s="225">
        <v>40914</v>
      </c>
      <c r="D15" s="64" t="s">
        <v>12</v>
      </c>
      <c r="E15" s="263">
        <v>204</v>
      </c>
      <c r="F15" s="264">
        <v>3</v>
      </c>
      <c r="G15" s="288">
        <v>1163723</v>
      </c>
      <c r="H15" s="289">
        <v>122619</v>
      </c>
      <c r="I15" s="266">
        <v>4281506</v>
      </c>
      <c r="J15" s="267">
        <v>456384</v>
      </c>
      <c r="K15" s="223">
        <v>40928</v>
      </c>
    </row>
    <row r="16" spans="1:11" ht="15.75">
      <c r="A16" s="305" t="s">
        <v>141</v>
      </c>
      <c r="B16" s="61" t="s">
        <v>142</v>
      </c>
      <c r="C16" s="226">
        <v>40893</v>
      </c>
      <c r="D16" s="64" t="s">
        <v>8</v>
      </c>
      <c r="E16" s="272">
        <v>131</v>
      </c>
      <c r="F16" s="273">
        <v>7</v>
      </c>
      <c r="G16" s="290">
        <v>782818</v>
      </c>
      <c r="H16" s="291">
        <v>90206</v>
      </c>
      <c r="I16" s="413">
        <v>14423830</v>
      </c>
      <c r="J16" s="411">
        <v>1609793</v>
      </c>
      <c r="K16" s="271">
        <v>40935</v>
      </c>
    </row>
    <row r="17" spans="1:11" ht="15.75">
      <c r="A17" s="328" t="s">
        <v>151</v>
      </c>
      <c r="B17" s="61" t="s">
        <v>218</v>
      </c>
      <c r="C17" s="225">
        <v>40900</v>
      </c>
      <c r="D17" s="64" t="s">
        <v>68</v>
      </c>
      <c r="E17" s="263">
        <v>197</v>
      </c>
      <c r="F17" s="264">
        <v>2</v>
      </c>
      <c r="G17" s="292">
        <v>656291</v>
      </c>
      <c r="H17" s="293">
        <v>73110</v>
      </c>
      <c r="I17" s="276">
        <f>985836.5+656291</f>
        <v>1642127.5</v>
      </c>
      <c r="J17" s="278">
        <f>106718+73110</f>
        <v>179828</v>
      </c>
      <c r="K17" s="316">
        <v>40907</v>
      </c>
    </row>
    <row r="18" spans="1:11" ht="15.75">
      <c r="A18" s="307" t="s">
        <v>347</v>
      </c>
      <c r="B18" s="61" t="s">
        <v>348</v>
      </c>
      <c r="C18" s="225">
        <v>40914</v>
      </c>
      <c r="D18" s="64" t="s">
        <v>12</v>
      </c>
      <c r="E18" s="263">
        <v>204</v>
      </c>
      <c r="F18" s="264">
        <v>4</v>
      </c>
      <c r="G18" s="288">
        <v>641449</v>
      </c>
      <c r="H18" s="289">
        <v>67679</v>
      </c>
      <c r="I18" s="266">
        <v>4923160</v>
      </c>
      <c r="J18" s="267">
        <v>524082</v>
      </c>
      <c r="K18" s="271">
        <v>40935</v>
      </c>
    </row>
    <row r="19" spans="1:11" ht="15.75">
      <c r="A19" s="305" t="s">
        <v>141</v>
      </c>
      <c r="B19" s="61" t="s">
        <v>142</v>
      </c>
      <c r="C19" s="226">
        <v>40893</v>
      </c>
      <c r="D19" s="64" t="s">
        <v>8</v>
      </c>
      <c r="E19" s="272">
        <v>131</v>
      </c>
      <c r="F19" s="273">
        <v>8</v>
      </c>
      <c r="G19" s="292">
        <v>546513</v>
      </c>
      <c r="H19" s="463">
        <v>61901</v>
      </c>
      <c r="I19" s="276">
        <v>14970343</v>
      </c>
      <c r="J19" s="412">
        <v>1671694</v>
      </c>
      <c r="K19" s="223">
        <v>40942</v>
      </c>
    </row>
    <row r="20" spans="1:11" ht="15.75">
      <c r="A20" s="328" t="s">
        <v>151</v>
      </c>
      <c r="B20" s="61" t="s">
        <v>218</v>
      </c>
      <c r="C20" s="225">
        <v>40900</v>
      </c>
      <c r="D20" s="64" t="s">
        <v>68</v>
      </c>
      <c r="E20" s="259">
        <v>197</v>
      </c>
      <c r="F20" s="311">
        <v>3</v>
      </c>
      <c r="G20" s="312">
        <v>454728.5</v>
      </c>
      <c r="H20" s="313">
        <v>50608</v>
      </c>
      <c r="I20" s="314">
        <f>985836.5+657011.5+454728.5</f>
        <v>2097576.5</v>
      </c>
      <c r="J20" s="315">
        <f>106718+73176+50608</f>
        <v>230502</v>
      </c>
      <c r="K20" s="223">
        <v>40914</v>
      </c>
    </row>
    <row r="21" spans="1:11" ht="15.75">
      <c r="A21" s="330" t="s">
        <v>104</v>
      </c>
      <c r="B21" s="61" t="s">
        <v>105</v>
      </c>
      <c r="C21" s="226">
        <v>40872</v>
      </c>
      <c r="D21" s="64" t="s">
        <v>10</v>
      </c>
      <c r="E21" s="263">
        <v>277</v>
      </c>
      <c r="F21" s="277">
        <v>6</v>
      </c>
      <c r="G21" s="292">
        <v>441941</v>
      </c>
      <c r="H21" s="293">
        <v>49345</v>
      </c>
      <c r="I21" s="276">
        <v>10697295</v>
      </c>
      <c r="J21" s="278">
        <v>1139680</v>
      </c>
      <c r="K21" s="316">
        <v>40907</v>
      </c>
    </row>
    <row r="22" spans="1:11" ht="15.75">
      <c r="A22" s="305" t="s">
        <v>141</v>
      </c>
      <c r="B22" s="61" t="s">
        <v>142</v>
      </c>
      <c r="C22" s="493">
        <v>40893</v>
      </c>
      <c r="D22" s="64" t="s">
        <v>8</v>
      </c>
      <c r="E22" s="272">
        <v>131</v>
      </c>
      <c r="F22" s="273">
        <v>9</v>
      </c>
      <c r="G22" s="499">
        <v>387361</v>
      </c>
      <c r="H22" s="500">
        <v>45227</v>
      </c>
      <c r="I22" s="497">
        <v>15357703</v>
      </c>
      <c r="J22" s="498">
        <v>1716921</v>
      </c>
      <c r="K22" s="223">
        <v>40949</v>
      </c>
    </row>
    <row r="23" spans="1:11" ht="15.75">
      <c r="A23" s="306" t="s">
        <v>381</v>
      </c>
      <c r="B23" s="64" t="s">
        <v>382</v>
      </c>
      <c r="C23" s="225">
        <v>40921</v>
      </c>
      <c r="D23" s="64" t="s">
        <v>52</v>
      </c>
      <c r="E23" s="263">
        <v>49</v>
      </c>
      <c r="F23" s="277">
        <v>1</v>
      </c>
      <c r="G23" s="294">
        <v>357713</v>
      </c>
      <c r="H23" s="295">
        <v>33400</v>
      </c>
      <c r="I23" s="279">
        <v>357713</v>
      </c>
      <c r="J23" s="267">
        <v>33400</v>
      </c>
      <c r="K23" s="271">
        <v>40921</v>
      </c>
    </row>
    <row r="24" spans="1:11" ht="15.75">
      <c r="A24" s="306" t="s">
        <v>381</v>
      </c>
      <c r="B24" s="64" t="s">
        <v>382</v>
      </c>
      <c r="C24" s="225">
        <v>40921</v>
      </c>
      <c r="D24" s="64" t="s">
        <v>52</v>
      </c>
      <c r="E24" s="263">
        <v>49</v>
      </c>
      <c r="F24" s="277">
        <v>2</v>
      </c>
      <c r="G24" s="371">
        <v>343246.5</v>
      </c>
      <c r="H24" s="372">
        <v>31498</v>
      </c>
      <c r="I24" s="366">
        <f>357713+343246.5</f>
        <v>700959.5</v>
      </c>
      <c r="J24" s="267">
        <f>33400+31498</f>
        <v>64898</v>
      </c>
      <c r="K24" s="223">
        <v>40928</v>
      </c>
    </row>
    <row r="25" spans="1:11" ht="15.75">
      <c r="A25" s="328" t="s">
        <v>107</v>
      </c>
      <c r="B25" s="63" t="s">
        <v>123</v>
      </c>
      <c r="C25" s="225">
        <v>40879</v>
      </c>
      <c r="D25" s="64" t="s">
        <v>68</v>
      </c>
      <c r="E25" s="263">
        <v>202</v>
      </c>
      <c r="F25" s="264">
        <v>5</v>
      </c>
      <c r="G25" s="292">
        <v>299977</v>
      </c>
      <c r="H25" s="293">
        <v>39696</v>
      </c>
      <c r="I25" s="276">
        <f>1080241.5+1088121+871543+502064+299977</f>
        <v>3841946.5</v>
      </c>
      <c r="J25" s="278">
        <f>121812+123965+100674+61096+39696</f>
        <v>447243</v>
      </c>
      <c r="K25" s="316">
        <v>40907</v>
      </c>
    </row>
    <row r="26" spans="1:11" ht="15.75">
      <c r="A26" s="307" t="s">
        <v>347</v>
      </c>
      <c r="B26" s="61" t="s">
        <v>348</v>
      </c>
      <c r="C26" s="225">
        <v>40914</v>
      </c>
      <c r="D26" s="64" t="s">
        <v>12</v>
      </c>
      <c r="E26" s="263">
        <v>204</v>
      </c>
      <c r="F26" s="264">
        <v>5</v>
      </c>
      <c r="G26" s="288">
        <v>291172</v>
      </c>
      <c r="H26" s="289">
        <v>35020</v>
      </c>
      <c r="I26" s="266">
        <v>5214332</v>
      </c>
      <c r="J26" s="267">
        <v>559102</v>
      </c>
      <c r="K26" s="223">
        <v>40942</v>
      </c>
    </row>
    <row r="27" spans="1:11" ht="15.75">
      <c r="A27" s="305" t="s">
        <v>337</v>
      </c>
      <c r="B27" s="66" t="s">
        <v>339</v>
      </c>
      <c r="C27" s="225">
        <v>40914</v>
      </c>
      <c r="D27" s="64" t="s">
        <v>53</v>
      </c>
      <c r="E27" s="261">
        <v>97</v>
      </c>
      <c r="F27" s="324">
        <v>1</v>
      </c>
      <c r="G27" s="325">
        <v>216520</v>
      </c>
      <c r="H27" s="318">
        <v>26831</v>
      </c>
      <c r="I27" s="326">
        <f>216520</f>
        <v>216520</v>
      </c>
      <c r="J27" s="320">
        <f>26831</f>
        <v>26831</v>
      </c>
      <c r="K27" s="223">
        <v>40914</v>
      </c>
    </row>
    <row r="28" spans="1:11" ht="15.75">
      <c r="A28" s="328" t="s">
        <v>151</v>
      </c>
      <c r="B28" s="61" t="s">
        <v>218</v>
      </c>
      <c r="C28" s="225">
        <v>40900</v>
      </c>
      <c r="D28" s="64" t="s">
        <v>68</v>
      </c>
      <c r="E28" s="263">
        <v>197</v>
      </c>
      <c r="F28" s="264">
        <v>4</v>
      </c>
      <c r="G28" s="292">
        <v>206447</v>
      </c>
      <c r="H28" s="293">
        <v>29112</v>
      </c>
      <c r="I28" s="276">
        <f>985836.5+657011.5+454728.5+206447</f>
        <v>2304023.5</v>
      </c>
      <c r="J28" s="278">
        <f>106718+73176+50608+29112</f>
        <v>259614</v>
      </c>
      <c r="K28" s="223">
        <v>40921</v>
      </c>
    </row>
    <row r="29" spans="1:11" ht="15.75">
      <c r="A29" s="305" t="s">
        <v>337</v>
      </c>
      <c r="B29" s="66" t="s">
        <v>339</v>
      </c>
      <c r="C29" s="225">
        <v>40914</v>
      </c>
      <c r="D29" s="64" t="s">
        <v>53</v>
      </c>
      <c r="E29" s="280">
        <v>97</v>
      </c>
      <c r="F29" s="281">
        <v>2</v>
      </c>
      <c r="G29" s="288">
        <v>198358.5</v>
      </c>
      <c r="H29" s="289">
        <v>25025</v>
      </c>
      <c r="I29" s="282">
        <f>216520+198358.5</f>
        <v>414878.5</v>
      </c>
      <c r="J29" s="283">
        <f>26831+25025</f>
        <v>51856</v>
      </c>
      <c r="K29" s="223">
        <v>40921</v>
      </c>
    </row>
    <row r="30" spans="1:11" ht="15.75">
      <c r="A30" s="335" t="s">
        <v>110</v>
      </c>
      <c r="B30" s="61" t="s">
        <v>113</v>
      </c>
      <c r="C30" s="225">
        <v>40879</v>
      </c>
      <c r="D30" s="64" t="s">
        <v>53</v>
      </c>
      <c r="E30" s="263">
        <v>135</v>
      </c>
      <c r="F30" s="281">
        <v>5</v>
      </c>
      <c r="G30" s="322">
        <v>197271.5</v>
      </c>
      <c r="H30" s="323">
        <v>25625</v>
      </c>
      <c r="I30" s="282">
        <f>1709882.25+1194489.75+708906.5+376327+70+197271.5</f>
        <v>4186947</v>
      </c>
      <c r="J30" s="283">
        <f>195314+135261+80447+45395+10+25625</f>
        <v>482052</v>
      </c>
      <c r="K30" s="316">
        <v>40907</v>
      </c>
    </row>
    <row r="31" spans="1:11" ht="15.75">
      <c r="A31" s="321" t="s">
        <v>74</v>
      </c>
      <c r="B31" s="67" t="s">
        <v>80</v>
      </c>
      <c r="C31" s="225">
        <v>40851</v>
      </c>
      <c r="D31" s="64" t="s">
        <v>53</v>
      </c>
      <c r="E31" s="272">
        <v>247</v>
      </c>
      <c r="F31" s="281">
        <v>9</v>
      </c>
      <c r="G31" s="322">
        <v>184428</v>
      </c>
      <c r="H31" s="323">
        <v>33224</v>
      </c>
      <c r="I31" s="282">
        <f>2260223+2366876.75+3859638+3137342+1906742.5+252.25+1189485.5+474275+250512+184428</f>
        <v>15629775</v>
      </c>
      <c r="J31" s="283">
        <f>286038+329194+554088+452220+278080+42+178270+68355+40409+33224</f>
        <v>2219920</v>
      </c>
      <c r="K31" s="316">
        <v>40907</v>
      </c>
    </row>
    <row r="32" spans="1:11" ht="15.75">
      <c r="A32" s="321" t="s">
        <v>660</v>
      </c>
      <c r="B32" s="61" t="s">
        <v>640</v>
      </c>
      <c r="C32" s="225">
        <v>40942</v>
      </c>
      <c r="D32" s="64" t="s">
        <v>53</v>
      </c>
      <c r="E32" s="280">
        <v>95</v>
      </c>
      <c r="F32" s="281">
        <v>1</v>
      </c>
      <c r="G32" s="462">
        <v>167178.1</v>
      </c>
      <c r="H32" s="289">
        <v>18839</v>
      </c>
      <c r="I32" s="451">
        <f>167178.1</f>
        <v>167178.1</v>
      </c>
      <c r="J32" s="267">
        <f>18839</f>
        <v>18839</v>
      </c>
      <c r="K32" s="223">
        <v>40942</v>
      </c>
    </row>
    <row r="33" spans="1:11" ht="15.75">
      <c r="A33" s="330" t="s">
        <v>631</v>
      </c>
      <c r="B33" s="61" t="s">
        <v>639</v>
      </c>
      <c r="C33" s="225">
        <v>40942</v>
      </c>
      <c r="D33" s="64" t="s">
        <v>52</v>
      </c>
      <c r="E33" s="449">
        <v>42</v>
      </c>
      <c r="F33" s="447">
        <v>1</v>
      </c>
      <c r="G33" s="464">
        <v>162020.35</v>
      </c>
      <c r="H33" s="465">
        <v>16152</v>
      </c>
      <c r="I33" s="452">
        <v>162020.35</v>
      </c>
      <c r="J33" s="453">
        <v>16152</v>
      </c>
      <c r="K33" s="223">
        <v>40942</v>
      </c>
    </row>
    <row r="34" spans="1:11" ht="15.75">
      <c r="A34" s="305" t="s">
        <v>337</v>
      </c>
      <c r="B34" s="66" t="s">
        <v>339</v>
      </c>
      <c r="C34" s="225">
        <v>40914</v>
      </c>
      <c r="D34" s="64" t="s">
        <v>53</v>
      </c>
      <c r="E34" s="280">
        <v>97</v>
      </c>
      <c r="F34" s="367">
        <v>3</v>
      </c>
      <c r="G34" s="288">
        <v>149589.5</v>
      </c>
      <c r="H34" s="289">
        <v>19383</v>
      </c>
      <c r="I34" s="266">
        <f>216520+198358.5+149589.5</f>
        <v>564468</v>
      </c>
      <c r="J34" s="267">
        <f>26831+25025+19383</f>
        <v>71239</v>
      </c>
      <c r="K34" s="223">
        <v>40928</v>
      </c>
    </row>
    <row r="35" spans="1:11" ht="15.75">
      <c r="A35" s="307" t="s">
        <v>347</v>
      </c>
      <c r="B35" s="61" t="s">
        <v>348</v>
      </c>
      <c r="C35" s="492">
        <v>40914</v>
      </c>
      <c r="D35" s="64" t="s">
        <v>12</v>
      </c>
      <c r="E35" s="263">
        <v>204</v>
      </c>
      <c r="F35" s="264">
        <v>6</v>
      </c>
      <c r="G35" s="336">
        <v>139126</v>
      </c>
      <c r="H35" s="337">
        <v>18433</v>
      </c>
      <c r="I35" s="268">
        <v>5353458</v>
      </c>
      <c r="J35" s="269">
        <v>577535</v>
      </c>
      <c r="K35" s="223">
        <v>40949</v>
      </c>
    </row>
    <row r="36" spans="1:11" ht="15.75">
      <c r="A36" s="328" t="s">
        <v>107</v>
      </c>
      <c r="B36" s="63" t="s">
        <v>123</v>
      </c>
      <c r="C36" s="225">
        <v>40879</v>
      </c>
      <c r="D36" s="64" t="s">
        <v>68</v>
      </c>
      <c r="E36" s="259">
        <v>202</v>
      </c>
      <c r="F36" s="311">
        <v>6</v>
      </c>
      <c r="G36" s="312">
        <v>131358.5</v>
      </c>
      <c r="H36" s="313">
        <v>19116</v>
      </c>
      <c r="I36" s="314">
        <f>1080241.5+1088121+871543+502064+300294.5+131358.5</f>
        <v>3973622.5</v>
      </c>
      <c r="J36" s="315">
        <f>121812+123965+100674+61096+39726+19116</f>
        <v>466389</v>
      </c>
      <c r="K36" s="223">
        <v>40914</v>
      </c>
    </row>
    <row r="37" spans="1:11" ht="15.75">
      <c r="A37" s="307" t="s">
        <v>104</v>
      </c>
      <c r="B37" s="61" t="s">
        <v>105</v>
      </c>
      <c r="C37" s="226">
        <v>40872</v>
      </c>
      <c r="D37" s="64" t="s">
        <v>10</v>
      </c>
      <c r="E37" s="259">
        <v>277</v>
      </c>
      <c r="F37" s="221">
        <v>7</v>
      </c>
      <c r="G37" s="312">
        <f>129529+680</f>
        <v>130209</v>
      </c>
      <c r="H37" s="313">
        <f>15613+55</f>
        <v>15668</v>
      </c>
      <c r="I37" s="314">
        <f>10697295+129529+680</f>
        <v>10827504</v>
      </c>
      <c r="J37" s="315">
        <f>1139680+15613+55</f>
        <v>1155348</v>
      </c>
      <c r="K37" s="223">
        <v>40914</v>
      </c>
    </row>
    <row r="38" spans="1:11" ht="15.75">
      <c r="A38" s="321" t="s">
        <v>660</v>
      </c>
      <c r="B38" s="61" t="s">
        <v>640</v>
      </c>
      <c r="C38" s="492">
        <v>40942</v>
      </c>
      <c r="D38" s="64" t="s">
        <v>53</v>
      </c>
      <c r="E38" s="280">
        <v>95</v>
      </c>
      <c r="F38" s="281">
        <v>2</v>
      </c>
      <c r="G38" s="336">
        <v>124753.91</v>
      </c>
      <c r="H38" s="337">
        <v>14893</v>
      </c>
      <c r="I38" s="268">
        <f>166893.1+124753.91</f>
        <v>291647.01</v>
      </c>
      <c r="J38" s="269">
        <f>18839+14893</f>
        <v>33732</v>
      </c>
      <c r="K38" s="223">
        <v>40949</v>
      </c>
    </row>
    <row r="39" spans="1:11" ht="15.75">
      <c r="A39" s="306" t="s">
        <v>381</v>
      </c>
      <c r="B39" s="64" t="s">
        <v>382</v>
      </c>
      <c r="C39" s="225">
        <v>40921</v>
      </c>
      <c r="D39" s="64" t="s">
        <v>52</v>
      </c>
      <c r="E39" s="263">
        <v>49</v>
      </c>
      <c r="F39" s="277">
        <v>3</v>
      </c>
      <c r="G39" s="420">
        <v>115529.5</v>
      </c>
      <c r="H39" s="421">
        <v>10192</v>
      </c>
      <c r="I39" s="414">
        <v>816489</v>
      </c>
      <c r="J39" s="415">
        <v>75090</v>
      </c>
      <c r="K39" s="271">
        <v>40935</v>
      </c>
    </row>
    <row r="40" spans="1:11" ht="15.75">
      <c r="A40" s="328" t="s">
        <v>107</v>
      </c>
      <c r="B40" s="63" t="s">
        <v>123</v>
      </c>
      <c r="C40" s="225">
        <v>40879</v>
      </c>
      <c r="D40" s="64" t="s">
        <v>68</v>
      </c>
      <c r="E40" s="263">
        <v>202</v>
      </c>
      <c r="F40" s="264">
        <v>7</v>
      </c>
      <c r="G40" s="292">
        <v>96969.5</v>
      </c>
      <c r="H40" s="293">
        <v>14898</v>
      </c>
      <c r="I40" s="276">
        <f>1080241.5+1088121+871543+502064+300294.5+131358.5+96969.5</f>
        <v>4070592</v>
      </c>
      <c r="J40" s="278">
        <f>121812+123965+100674+61096+39726+19116+14898</f>
        <v>481287</v>
      </c>
      <c r="K40" s="223">
        <v>40921</v>
      </c>
    </row>
    <row r="41" spans="1:11" ht="15.75">
      <c r="A41" s="335" t="s">
        <v>110</v>
      </c>
      <c r="B41" s="61" t="s">
        <v>113</v>
      </c>
      <c r="C41" s="225">
        <v>40879</v>
      </c>
      <c r="D41" s="64" t="s">
        <v>53</v>
      </c>
      <c r="E41" s="259">
        <v>135</v>
      </c>
      <c r="F41" s="324">
        <v>6</v>
      </c>
      <c r="G41" s="325">
        <v>73341.5</v>
      </c>
      <c r="H41" s="318">
        <v>10302</v>
      </c>
      <c r="I41" s="326">
        <f>1709882.25+1194489.75+708906.5+376327+70+197271.5+73341.5</f>
        <v>4260288.5</v>
      </c>
      <c r="J41" s="320">
        <f>195314+135261+80447+45395+10+25625+10302</f>
        <v>492354</v>
      </c>
      <c r="K41" s="223">
        <v>40914</v>
      </c>
    </row>
    <row r="42" spans="1:11" ht="15.75">
      <c r="A42" s="328" t="s">
        <v>151</v>
      </c>
      <c r="B42" s="61" t="s">
        <v>218</v>
      </c>
      <c r="C42" s="225">
        <v>40900</v>
      </c>
      <c r="D42" s="64" t="s">
        <v>68</v>
      </c>
      <c r="E42" s="263">
        <v>197</v>
      </c>
      <c r="F42" s="264">
        <v>5</v>
      </c>
      <c r="G42" s="292">
        <v>72029</v>
      </c>
      <c r="H42" s="293">
        <v>10776</v>
      </c>
      <c r="I42" s="276">
        <f>985836.5+657011.5+454728.5+206461+72029</f>
        <v>2376066.5</v>
      </c>
      <c r="J42" s="278">
        <f>106718+73176+50608+29114+10776</f>
        <v>270392</v>
      </c>
      <c r="K42" s="223">
        <v>40928</v>
      </c>
    </row>
    <row r="43" spans="1:11" ht="15.75">
      <c r="A43" s="305" t="s">
        <v>141</v>
      </c>
      <c r="B43" s="61" t="s">
        <v>142</v>
      </c>
      <c r="C43" s="226">
        <v>40893</v>
      </c>
      <c r="D43" s="64" t="s">
        <v>8</v>
      </c>
      <c r="E43" s="272">
        <v>131</v>
      </c>
      <c r="F43" s="273">
        <v>10</v>
      </c>
      <c r="G43" s="292">
        <v>71809</v>
      </c>
      <c r="H43" s="293">
        <v>8523</v>
      </c>
      <c r="I43" s="276">
        <v>15429512</v>
      </c>
      <c r="J43" s="278">
        <v>1725444</v>
      </c>
      <c r="K43" s="223">
        <v>40956</v>
      </c>
    </row>
    <row r="44" spans="1:11" ht="15.75">
      <c r="A44" s="335" t="s">
        <v>110</v>
      </c>
      <c r="B44" s="61" t="s">
        <v>113</v>
      </c>
      <c r="C44" s="225">
        <v>40879</v>
      </c>
      <c r="D44" s="64" t="s">
        <v>53</v>
      </c>
      <c r="E44" s="263">
        <v>135</v>
      </c>
      <c r="F44" s="281">
        <v>7</v>
      </c>
      <c r="G44" s="288">
        <v>70692.5</v>
      </c>
      <c r="H44" s="289">
        <v>10950</v>
      </c>
      <c r="I44" s="282">
        <f>1709882.25+1194489.75+708906.5+376327+70+197271.5+73341.5+70692.5</f>
        <v>4330981</v>
      </c>
      <c r="J44" s="283">
        <f>195314+135261+80447+45395+10+25625+10302+10950</f>
        <v>503304</v>
      </c>
      <c r="K44" s="223">
        <v>40921</v>
      </c>
    </row>
    <row r="45" spans="1:11" ht="15.75">
      <c r="A45" s="330" t="s">
        <v>631</v>
      </c>
      <c r="B45" s="61" t="s">
        <v>639</v>
      </c>
      <c r="C45" s="492">
        <v>40942</v>
      </c>
      <c r="D45" s="64" t="s">
        <v>52</v>
      </c>
      <c r="E45" s="263">
        <v>42</v>
      </c>
      <c r="F45" s="264">
        <v>2</v>
      </c>
      <c r="G45" s="336">
        <v>70285.95</v>
      </c>
      <c r="H45" s="337">
        <v>7535</v>
      </c>
      <c r="I45" s="268">
        <f>162020.35+70285.95</f>
        <v>232306.3</v>
      </c>
      <c r="J45" s="269">
        <f>16152+7535</f>
        <v>23687</v>
      </c>
      <c r="K45" s="223">
        <v>40949</v>
      </c>
    </row>
    <row r="46" spans="1:11" ht="15.75">
      <c r="A46" s="328" t="s">
        <v>107</v>
      </c>
      <c r="B46" s="63" t="s">
        <v>123</v>
      </c>
      <c r="C46" s="225">
        <v>40879</v>
      </c>
      <c r="D46" s="64" t="s">
        <v>68</v>
      </c>
      <c r="E46" s="263">
        <v>202</v>
      </c>
      <c r="F46" s="264">
        <v>8</v>
      </c>
      <c r="G46" s="292">
        <v>68985</v>
      </c>
      <c r="H46" s="293">
        <v>10338</v>
      </c>
      <c r="I46" s="276">
        <f>1080241.5+1088121+871543+502064+300294.5+131358.5+96969.5+68985</f>
        <v>4139577</v>
      </c>
      <c r="J46" s="278">
        <f>121812+123965+100674+61096+39726+19116+14898+10338</f>
        <v>491625</v>
      </c>
      <c r="K46" s="223">
        <v>40928</v>
      </c>
    </row>
    <row r="47" spans="1:11" ht="15.75">
      <c r="A47" s="307" t="s">
        <v>104</v>
      </c>
      <c r="B47" s="61" t="s">
        <v>105</v>
      </c>
      <c r="C47" s="226">
        <v>40872</v>
      </c>
      <c r="D47" s="64" t="s">
        <v>10</v>
      </c>
      <c r="E47" s="263">
        <v>277</v>
      </c>
      <c r="F47" s="277">
        <v>8</v>
      </c>
      <c r="G47" s="292">
        <v>64482</v>
      </c>
      <c r="H47" s="293">
        <v>7909</v>
      </c>
      <c r="I47" s="276">
        <v>10891986</v>
      </c>
      <c r="J47" s="278">
        <v>1163257</v>
      </c>
      <c r="K47" s="223">
        <v>40921</v>
      </c>
    </row>
    <row r="48" spans="1:11" ht="15.75">
      <c r="A48" s="306" t="s">
        <v>381</v>
      </c>
      <c r="B48" s="64" t="s">
        <v>382</v>
      </c>
      <c r="C48" s="225">
        <v>40921</v>
      </c>
      <c r="D48" s="64" t="s">
        <v>52</v>
      </c>
      <c r="E48" s="263">
        <v>49</v>
      </c>
      <c r="F48" s="447">
        <v>4</v>
      </c>
      <c r="G48" s="464">
        <v>51137</v>
      </c>
      <c r="H48" s="465">
        <v>4818</v>
      </c>
      <c r="I48" s="452">
        <f>357713+343246.5+115529.5+51137</f>
        <v>867626</v>
      </c>
      <c r="J48" s="453">
        <f>33400+31498+10192+4818</f>
        <v>79908</v>
      </c>
      <c r="K48" s="223">
        <v>40942</v>
      </c>
    </row>
    <row r="49" spans="1:11" ht="15.75">
      <c r="A49" s="335" t="s">
        <v>110</v>
      </c>
      <c r="B49" s="61" t="s">
        <v>113</v>
      </c>
      <c r="C49" s="225">
        <v>40879</v>
      </c>
      <c r="D49" s="64" t="s">
        <v>53</v>
      </c>
      <c r="E49" s="263">
        <v>135</v>
      </c>
      <c r="F49" s="367">
        <v>8</v>
      </c>
      <c r="G49" s="288">
        <v>50480.5</v>
      </c>
      <c r="H49" s="289">
        <v>7727</v>
      </c>
      <c r="I49" s="266">
        <f>1709882.25+1194489.75+708906.5+376327+70+197271.5+73341.5+70692.5+50480.5</f>
        <v>4381461.5</v>
      </c>
      <c r="J49" s="267">
        <f>195314+135261+80447+45395+10+25625+10302+10950+7727</f>
        <v>511031</v>
      </c>
      <c r="K49" s="223">
        <v>40928</v>
      </c>
    </row>
    <row r="50" spans="1:11" ht="15.75">
      <c r="A50" s="307" t="s">
        <v>104</v>
      </c>
      <c r="B50" s="61" t="s">
        <v>105</v>
      </c>
      <c r="C50" s="226">
        <v>40872</v>
      </c>
      <c r="D50" s="64" t="s">
        <v>10</v>
      </c>
      <c r="E50" s="263">
        <v>277</v>
      </c>
      <c r="F50" s="277">
        <v>9</v>
      </c>
      <c r="G50" s="373">
        <v>39245</v>
      </c>
      <c r="H50" s="374">
        <v>5888</v>
      </c>
      <c r="I50" s="274">
        <v>10931231</v>
      </c>
      <c r="J50" s="275">
        <v>1169145</v>
      </c>
      <c r="K50" s="223">
        <v>40928</v>
      </c>
    </row>
    <row r="51" spans="1:11" ht="15.75">
      <c r="A51" s="330" t="s">
        <v>120</v>
      </c>
      <c r="B51" s="61" t="s">
        <v>122</v>
      </c>
      <c r="C51" s="225">
        <v>40886</v>
      </c>
      <c r="D51" s="64" t="s">
        <v>121</v>
      </c>
      <c r="E51" s="263">
        <v>82</v>
      </c>
      <c r="F51" s="277">
        <v>4</v>
      </c>
      <c r="G51" s="296">
        <v>27702.5</v>
      </c>
      <c r="H51" s="297">
        <v>3949</v>
      </c>
      <c r="I51" s="285">
        <v>629561</v>
      </c>
      <c r="J51" s="286">
        <v>71923</v>
      </c>
      <c r="K51" s="316">
        <v>40907</v>
      </c>
    </row>
    <row r="52" spans="1:11" ht="15.75">
      <c r="A52" s="321" t="s">
        <v>660</v>
      </c>
      <c r="B52" s="61" t="s">
        <v>640</v>
      </c>
      <c r="C52" s="225">
        <v>40942</v>
      </c>
      <c r="D52" s="64" t="s">
        <v>53</v>
      </c>
      <c r="E52" s="280">
        <v>95</v>
      </c>
      <c r="F52" s="281">
        <v>3</v>
      </c>
      <c r="G52" s="322">
        <v>25288.04</v>
      </c>
      <c r="H52" s="323">
        <v>3105</v>
      </c>
      <c r="I52" s="282">
        <f>166893.1+124753.91+25288.04</f>
        <v>316935.05</v>
      </c>
      <c r="J52" s="283">
        <f>18839+14893+3105</f>
        <v>36837</v>
      </c>
      <c r="K52" s="223">
        <v>40956</v>
      </c>
    </row>
    <row r="53" spans="1:11" ht="15.75">
      <c r="A53" s="306" t="s">
        <v>381</v>
      </c>
      <c r="B53" s="64" t="s">
        <v>382</v>
      </c>
      <c r="C53" s="492">
        <v>40921</v>
      </c>
      <c r="D53" s="64" t="s">
        <v>52</v>
      </c>
      <c r="E53" s="263">
        <v>49</v>
      </c>
      <c r="F53" s="264">
        <v>5</v>
      </c>
      <c r="G53" s="336">
        <v>24830.5</v>
      </c>
      <c r="H53" s="337">
        <v>3004</v>
      </c>
      <c r="I53" s="268">
        <f>357713+343246.5+115529.5+51137+24830.5</f>
        <v>892456.5</v>
      </c>
      <c r="J53" s="269">
        <f>33400+31498+10192+4818+3004</f>
        <v>82912</v>
      </c>
      <c r="K53" s="223">
        <v>40949</v>
      </c>
    </row>
    <row r="54" spans="1:11" ht="15.75">
      <c r="A54" s="328" t="s">
        <v>115</v>
      </c>
      <c r="B54" s="61" t="s">
        <v>116</v>
      </c>
      <c r="C54" s="225">
        <v>40886</v>
      </c>
      <c r="D54" s="64" t="s">
        <v>12</v>
      </c>
      <c r="E54" s="263">
        <v>161</v>
      </c>
      <c r="F54" s="264">
        <v>4</v>
      </c>
      <c r="G54" s="336">
        <v>23157</v>
      </c>
      <c r="H54" s="337">
        <v>3682</v>
      </c>
      <c r="I54" s="268">
        <v>853031</v>
      </c>
      <c r="J54" s="269">
        <v>102752</v>
      </c>
      <c r="K54" s="316">
        <v>40907</v>
      </c>
    </row>
    <row r="55" spans="1:11" ht="15.75">
      <c r="A55" s="328" t="s">
        <v>143</v>
      </c>
      <c r="B55" s="61" t="s">
        <v>127</v>
      </c>
      <c r="C55" s="225">
        <v>40893</v>
      </c>
      <c r="D55" s="64" t="s">
        <v>68</v>
      </c>
      <c r="E55" s="263">
        <v>23</v>
      </c>
      <c r="F55" s="264">
        <v>3</v>
      </c>
      <c r="G55" s="292">
        <v>20298.5</v>
      </c>
      <c r="H55" s="293">
        <v>2691</v>
      </c>
      <c r="I55" s="276">
        <f>53228.5+28585+20298.5</f>
        <v>102112</v>
      </c>
      <c r="J55" s="278">
        <f>6440+3537+2691</f>
        <v>12668</v>
      </c>
      <c r="K55" s="316">
        <v>40907</v>
      </c>
    </row>
    <row r="56" spans="1:11" ht="15.75">
      <c r="A56" s="321" t="s">
        <v>148</v>
      </c>
      <c r="B56" s="64" t="s">
        <v>112</v>
      </c>
      <c r="C56" s="225">
        <v>40900</v>
      </c>
      <c r="D56" s="64" t="s">
        <v>52</v>
      </c>
      <c r="E56" s="284">
        <v>14</v>
      </c>
      <c r="F56" s="277">
        <v>2</v>
      </c>
      <c r="G56" s="342">
        <v>19458.5</v>
      </c>
      <c r="H56" s="343">
        <v>1850</v>
      </c>
      <c r="I56" s="265">
        <f>43848.5+19458.5</f>
        <v>63307</v>
      </c>
      <c r="J56" s="267">
        <f>3764+1850</f>
        <v>5614</v>
      </c>
      <c r="K56" s="316">
        <v>40907</v>
      </c>
    </row>
    <row r="57" spans="1:11" ht="15.75">
      <c r="A57" s="305" t="s">
        <v>337</v>
      </c>
      <c r="B57" s="66" t="s">
        <v>339</v>
      </c>
      <c r="C57" s="225">
        <v>40914</v>
      </c>
      <c r="D57" s="64" t="s">
        <v>53</v>
      </c>
      <c r="E57" s="280">
        <v>97</v>
      </c>
      <c r="F57" s="281">
        <v>4</v>
      </c>
      <c r="G57" s="288">
        <v>18051.79</v>
      </c>
      <c r="H57" s="289">
        <v>2440</v>
      </c>
      <c r="I57" s="266">
        <f>216520+198358.5+149589.5+18051.79</f>
        <v>582519.79</v>
      </c>
      <c r="J57" s="267">
        <f>26831+25025+19383+2440</f>
        <v>73679</v>
      </c>
      <c r="K57" s="271">
        <v>40935</v>
      </c>
    </row>
    <row r="58" spans="1:11" ht="15.75">
      <c r="A58" s="328" t="s">
        <v>67</v>
      </c>
      <c r="B58" s="63" t="s">
        <v>85</v>
      </c>
      <c r="C58" s="225">
        <v>40844</v>
      </c>
      <c r="D58" s="64" t="s">
        <v>68</v>
      </c>
      <c r="E58" s="263">
        <v>278</v>
      </c>
      <c r="F58" s="264">
        <v>13</v>
      </c>
      <c r="G58" s="292">
        <v>17226.5</v>
      </c>
      <c r="H58" s="293">
        <v>2090</v>
      </c>
      <c r="I58" s="276">
        <f>2021467.25+4147826.75+1641146.5+1086471.5+837723.5+353523.5+115157+12431.5+1554+13261.5+3397.5+17222.5+17226.5</f>
        <v>10268409.5</v>
      </c>
      <c r="J58" s="278">
        <f>231121+459388+190384+130345+104513+46481+14878+1830+250+1860+737+1888+2090</f>
        <v>1185765</v>
      </c>
      <c r="K58" s="223">
        <v>40928</v>
      </c>
    </row>
    <row r="59" spans="1:11" ht="15.75">
      <c r="A59" s="328" t="s">
        <v>67</v>
      </c>
      <c r="B59" s="63" t="s">
        <v>85</v>
      </c>
      <c r="C59" s="225">
        <v>40844</v>
      </c>
      <c r="D59" s="64" t="s">
        <v>68</v>
      </c>
      <c r="E59" s="263">
        <v>278</v>
      </c>
      <c r="F59" s="264">
        <v>12</v>
      </c>
      <c r="G59" s="292">
        <v>17222.5</v>
      </c>
      <c r="H59" s="293">
        <v>1888</v>
      </c>
      <c r="I59" s="276">
        <f>2021467.25+4147826.75+1641146.5+1086471.5+837723.5+353523.5+115157+12431.5+1554+13261.5+3397.5+17222.5</f>
        <v>10251183</v>
      </c>
      <c r="J59" s="278">
        <f>231121+459388+190384+130345+104513+46481+14878+1830+250+1860+737+1888</f>
        <v>1183675</v>
      </c>
      <c r="K59" s="223">
        <v>40921</v>
      </c>
    </row>
    <row r="60" spans="1:11" ht="15.75">
      <c r="A60" s="328" t="s">
        <v>151</v>
      </c>
      <c r="B60" s="61" t="s">
        <v>218</v>
      </c>
      <c r="C60" s="225">
        <v>40900</v>
      </c>
      <c r="D60" s="64" t="s">
        <v>68</v>
      </c>
      <c r="E60" s="263">
        <v>197</v>
      </c>
      <c r="F60" s="264">
        <v>6</v>
      </c>
      <c r="G60" s="292">
        <v>16105.51</v>
      </c>
      <c r="H60" s="293">
        <v>3413</v>
      </c>
      <c r="I60" s="276">
        <f>985836.5+657011.5+454728.5+206461+72029+16105.51</f>
        <v>2392172.01</v>
      </c>
      <c r="J60" s="278">
        <f>106718+73176+50608+29114+10776+3413</f>
        <v>273805</v>
      </c>
      <c r="K60" s="271">
        <v>40935</v>
      </c>
    </row>
    <row r="61" spans="1:11" ht="15.75">
      <c r="A61" s="328" t="s">
        <v>67</v>
      </c>
      <c r="B61" s="63" t="s">
        <v>85</v>
      </c>
      <c r="C61" s="225">
        <v>40844</v>
      </c>
      <c r="D61" s="64" t="s">
        <v>68</v>
      </c>
      <c r="E61" s="263">
        <v>278</v>
      </c>
      <c r="F61" s="264">
        <v>10</v>
      </c>
      <c r="G61" s="292">
        <v>13261.5</v>
      </c>
      <c r="H61" s="293">
        <v>1860</v>
      </c>
      <c r="I61" s="276">
        <f>2021467.25+4147826.75+1641146.5+1086471.5+837723.5+353523.5+115157+12431.5+1554+13261.5</f>
        <v>10230563</v>
      </c>
      <c r="J61" s="278">
        <f>231121+459388+190384+130345+104513+46481+14878+1830+250+1860</f>
        <v>1181050</v>
      </c>
      <c r="K61" s="316">
        <v>40907</v>
      </c>
    </row>
    <row r="62" spans="1:11" ht="15.75">
      <c r="A62" s="321" t="s">
        <v>74</v>
      </c>
      <c r="B62" s="67" t="s">
        <v>80</v>
      </c>
      <c r="C62" s="225">
        <v>40851</v>
      </c>
      <c r="D62" s="64" t="s">
        <v>53</v>
      </c>
      <c r="E62" s="262">
        <v>247</v>
      </c>
      <c r="F62" s="324">
        <v>10</v>
      </c>
      <c r="G62" s="325">
        <v>13126</v>
      </c>
      <c r="H62" s="318">
        <v>1975</v>
      </c>
      <c r="I62" s="326">
        <f>2260223+2366876.75+3859638+3137342+1906742.5+252.25+1189485.5+474275+250512+184428+13126</f>
        <v>15642901</v>
      </c>
      <c r="J62" s="320">
        <f>286038+329194+554088+452220+278080+42+178270+68355+40409+33224+1975</f>
        <v>2221895</v>
      </c>
      <c r="K62" s="223">
        <v>40914</v>
      </c>
    </row>
    <row r="63" spans="1:11" ht="15.75">
      <c r="A63" s="306" t="s">
        <v>381</v>
      </c>
      <c r="B63" s="64" t="s">
        <v>382</v>
      </c>
      <c r="C63" s="225">
        <v>40921</v>
      </c>
      <c r="D63" s="64" t="s">
        <v>52</v>
      </c>
      <c r="E63" s="263">
        <v>49</v>
      </c>
      <c r="F63" s="264">
        <v>6</v>
      </c>
      <c r="G63" s="322">
        <v>11883</v>
      </c>
      <c r="H63" s="323">
        <v>1638</v>
      </c>
      <c r="I63" s="282">
        <f>357713+343246.5+115529.5+51137+24830.5+11883</f>
        <v>904339.5</v>
      </c>
      <c r="J63" s="283">
        <f>33400+31498+10192+4818+3004+1638</f>
        <v>84550</v>
      </c>
      <c r="K63" s="223">
        <v>40956</v>
      </c>
    </row>
    <row r="64" spans="1:11" ht="15.75">
      <c r="A64" s="328" t="s">
        <v>115</v>
      </c>
      <c r="B64" s="61" t="s">
        <v>116</v>
      </c>
      <c r="C64" s="225">
        <v>40886</v>
      </c>
      <c r="D64" s="64" t="s">
        <v>12</v>
      </c>
      <c r="E64" s="259">
        <v>161</v>
      </c>
      <c r="F64" s="220">
        <v>5</v>
      </c>
      <c r="G64" s="317">
        <v>11189</v>
      </c>
      <c r="H64" s="318">
        <v>1816</v>
      </c>
      <c r="I64" s="319">
        <v>864220</v>
      </c>
      <c r="J64" s="320">
        <v>104568</v>
      </c>
      <c r="K64" s="223">
        <v>40914</v>
      </c>
    </row>
    <row r="65" spans="1:11" ht="15.75">
      <c r="A65" s="330" t="s">
        <v>631</v>
      </c>
      <c r="B65" s="61" t="s">
        <v>639</v>
      </c>
      <c r="C65" s="225">
        <v>40942</v>
      </c>
      <c r="D65" s="64" t="s">
        <v>52</v>
      </c>
      <c r="E65" s="263">
        <v>42</v>
      </c>
      <c r="F65" s="264">
        <v>3</v>
      </c>
      <c r="G65" s="322">
        <v>11139.41</v>
      </c>
      <c r="H65" s="323">
        <v>1434</v>
      </c>
      <c r="I65" s="282">
        <f>162020.35+70285.95+11139.41</f>
        <v>243445.71</v>
      </c>
      <c r="J65" s="283">
        <f>16152+7535+1434</f>
        <v>25121</v>
      </c>
      <c r="K65" s="223">
        <v>40956</v>
      </c>
    </row>
    <row r="66" spans="1:11" ht="15.75">
      <c r="A66" s="335" t="s">
        <v>110</v>
      </c>
      <c r="B66" s="61" t="s">
        <v>113</v>
      </c>
      <c r="C66" s="225">
        <v>40879</v>
      </c>
      <c r="D66" s="64" t="s">
        <v>53</v>
      </c>
      <c r="E66" s="263">
        <v>135</v>
      </c>
      <c r="F66" s="281">
        <v>9</v>
      </c>
      <c r="G66" s="288">
        <v>9953.5</v>
      </c>
      <c r="H66" s="289">
        <v>1402</v>
      </c>
      <c r="I66" s="266">
        <f>1709882.25+1194489.75+708906.5+376327+70+197271.5+73341.5+70692.5+50480.5+9953.5</f>
        <v>4391415</v>
      </c>
      <c r="J66" s="267">
        <f>195314+135261+80447+45395+10+25625+10302+10950+7727+1402</f>
        <v>512433</v>
      </c>
      <c r="K66" s="271">
        <v>40935</v>
      </c>
    </row>
    <row r="67" spans="1:11" ht="15.75">
      <c r="A67" s="328" t="s">
        <v>115</v>
      </c>
      <c r="B67" s="61" t="s">
        <v>116</v>
      </c>
      <c r="C67" s="225">
        <v>40886</v>
      </c>
      <c r="D67" s="64" t="s">
        <v>12</v>
      </c>
      <c r="E67" s="263">
        <v>161</v>
      </c>
      <c r="F67" s="264">
        <v>6</v>
      </c>
      <c r="G67" s="288">
        <v>9906</v>
      </c>
      <c r="H67" s="289">
        <v>1845</v>
      </c>
      <c r="I67" s="268">
        <v>874126</v>
      </c>
      <c r="J67" s="269">
        <v>106413</v>
      </c>
      <c r="K67" s="223">
        <v>40921</v>
      </c>
    </row>
    <row r="68" spans="1:11" ht="15.75">
      <c r="A68" s="328" t="s">
        <v>107</v>
      </c>
      <c r="B68" s="63" t="s">
        <v>123</v>
      </c>
      <c r="C68" s="225">
        <v>40879</v>
      </c>
      <c r="D68" s="64" t="s">
        <v>68</v>
      </c>
      <c r="E68" s="263">
        <v>202</v>
      </c>
      <c r="F68" s="264">
        <v>9</v>
      </c>
      <c r="G68" s="292">
        <v>9253.5</v>
      </c>
      <c r="H68" s="293">
        <v>1416</v>
      </c>
      <c r="I68" s="276">
        <f>1080241.5+1088121+871543+502064+300294.5+131358.5+96969.5+68985+9253.5</f>
        <v>4148830.5</v>
      </c>
      <c r="J68" s="278">
        <f>121812+123965+100674+61096+39726+19116+14898+10338+1416</f>
        <v>493041</v>
      </c>
      <c r="K68" s="271">
        <v>40935</v>
      </c>
    </row>
    <row r="69" spans="1:11" ht="15.75">
      <c r="A69" s="335" t="s">
        <v>71</v>
      </c>
      <c r="B69" s="61" t="s">
        <v>82</v>
      </c>
      <c r="C69" s="226">
        <v>40858</v>
      </c>
      <c r="D69" s="64" t="s">
        <v>53</v>
      </c>
      <c r="E69" s="263">
        <v>130</v>
      </c>
      <c r="F69" s="281">
        <v>8</v>
      </c>
      <c r="G69" s="322">
        <v>8754</v>
      </c>
      <c r="H69" s="323">
        <v>1547</v>
      </c>
      <c r="I69" s="282">
        <f>665902+436506+215139.5+18371+13790+6539+18719+8754</f>
        <v>1383720.5</v>
      </c>
      <c r="J69" s="283">
        <f>66262+44749+24699+2311+1764+1135+3015+1547</f>
        <v>145482</v>
      </c>
      <c r="K69" s="316">
        <v>40907</v>
      </c>
    </row>
    <row r="70" spans="1:11" ht="15.75">
      <c r="A70" s="328" t="s">
        <v>143</v>
      </c>
      <c r="B70" s="61" t="s">
        <v>127</v>
      </c>
      <c r="C70" s="225">
        <v>40893</v>
      </c>
      <c r="D70" s="64" t="s">
        <v>68</v>
      </c>
      <c r="E70" s="259">
        <v>23</v>
      </c>
      <c r="F70" s="311">
        <v>4</v>
      </c>
      <c r="G70" s="312">
        <v>8299</v>
      </c>
      <c r="H70" s="313">
        <v>1237</v>
      </c>
      <c r="I70" s="314">
        <f>53228.5+28585+20298.5+8299</f>
        <v>110411</v>
      </c>
      <c r="J70" s="315">
        <f>6440+3537+2691+1237</f>
        <v>13905</v>
      </c>
      <c r="K70" s="223">
        <v>40914</v>
      </c>
    </row>
    <row r="71" spans="1:11" ht="15.75">
      <c r="A71" s="330" t="s">
        <v>120</v>
      </c>
      <c r="B71" s="61" t="s">
        <v>122</v>
      </c>
      <c r="C71" s="225">
        <v>40886</v>
      </c>
      <c r="D71" s="64" t="s">
        <v>121</v>
      </c>
      <c r="E71" s="259">
        <v>82</v>
      </c>
      <c r="F71" s="221">
        <v>5</v>
      </c>
      <c r="G71" s="331">
        <v>8167.5</v>
      </c>
      <c r="H71" s="332">
        <v>1300</v>
      </c>
      <c r="I71" s="333">
        <v>637877</v>
      </c>
      <c r="J71" s="334">
        <v>73245</v>
      </c>
      <c r="K71" s="223">
        <v>40914</v>
      </c>
    </row>
    <row r="72" spans="1:11" ht="15.75">
      <c r="A72" s="307" t="s">
        <v>104</v>
      </c>
      <c r="B72" s="61" t="s">
        <v>105</v>
      </c>
      <c r="C72" s="226">
        <v>40872</v>
      </c>
      <c r="D72" s="64" t="s">
        <v>10</v>
      </c>
      <c r="E72" s="263">
        <v>277</v>
      </c>
      <c r="F72" s="277">
        <v>13</v>
      </c>
      <c r="G72" s="292">
        <v>7140</v>
      </c>
      <c r="H72" s="293">
        <v>1666</v>
      </c>
      <c r="I72" s="276">
        <v>10945899</v>
      </c>
      <c r="J72" s="278">
        <v>1172189</v>
      </c>
      <c r="K72" s="223">
        <v>40956</v>
      </c>
    </row>
    <row r="73" spans="1:11" ht="15.75">
      <c r="A73" s="335" t="s">
        <v>106</v>
      </c>
      <c r="B73" s="61" t="s">
        <v>114</v>
      </c>
      <c r="C73" s="225">
        <v>40879</v>
      </c>
      <c r="D73" s="64" t="s">
        <v>8</v>
      </c>
      <c r="E73" s="263">
        <v>39</v>
      </c>
      <c r="F73" s="273">
        <v>5</v>
      </c>
      <c r="G73" s="292">
        <v>6888</v>
      </c>
      <c r="H73" s="293">
        <v>1032</v>
      </c>
      <c r="I73" s="276">
        <v>207860</v>
      </c>
      <c r="J73" s="278">
        <v>22859</v>
      </c>
      <c r="K73" s="316">
        <v>40907</v>
      </c>
    </row>
    <row r="74" spans="1:11" ht="15.75">
      <c r="A74" s="328" t="s">
        <v>143</v>
      </c>
      <c r="B74" s="61" t="s">
        <v>127</v>
      </c>
      <c r="C74" s="225">
        <v>40893</v>
      </c>
      <c r="D74" s="64" t="s">
        <v>68</v>
      </c>
      <c r="E74" s="263">
        <v>23</v>
      </c>
      <c r="F74" s="264">
        <v>6</v>
      </c>
      <c r="G74" s="292">
        <v>6463</v>
      </c>
      <c r="H74" s="293">
        <v>1419</v>
      </c>
      <c r="I74" s="276">
        <f>53228.5+28585+20298.5+8299+5922+6463</f>
        <v>122796</v>
      </c>
      <c r="J74" s="278">
        <f>6440+3537+2691+1237+891+1419</f>
        <v>16215</v>
      </c>
      <c r="K74" s="223">
        <v>40928</v>
      </c>
    </row>
    <row r="75" spans="1:11" ht="15.75">
      <c r="A75" s="328" t="s">
        <v>143</v>
      </c>
      <c r="B75" s="61" t="s">
        <v>127</v>
      </c>
      <c r="C75" s="225">
        <v>40893</v>
      </c>
      <c r="D75" s="64" t="s">
        <v>68</v>
      </c>
      <c r="E75" s="263">
        <v>23</v>
      </c>
      <c r="F75" s="264">
        <v>5</v>
      </c>
      <c r="G75" s="292">
        <v>5922</v>
      </c>
      <c r="H75" s="293">
        <v>891</v>
      </c>
      <c r="I75" s="276">
        <f>53228.5+28585+20298.5+8299+5922</f>
        <v>116333</v>
      </c>
      <c r="J75" s="278">
        <f>6440+3537+2691+1237+891</f>
        <v>14796</v>
      </c>
      <c r="K75" s="223">
        <v>40921</v>
      </c>
    </row>
    <row r="76" spans="1:11" ht="15.75">
      <c r="A76" s="335" t="s">
        <v>71</v>
      </c>
      <c r="B76" s="61" t="s">
        <v>82</v>
      </c>
      <c r="C76" s="226">
        <v>40858</v>
      </c>
      <c r="D76" s="64" t="s">
        <v>53</v>
      </c>
      <c r="E76" s="263">
        <v>130</v>
      </c>
      <c r="F76" s="367">
        <v>11</v>
      </c>
      <c r="G76" s="288">
        <v>5914</v>
      </c>
      <c r="H76" s="289">
        <v>595</v>
      </c>
      <c r="I76" s="266">
        <f>665902+436506+215139.5+18371+13790+6539+18719+8754+1085+753+5914</f>
        <v>1391472.5</v>
      </c>
      <c r="J76" s="267">
        <f>66262+44749+24699+2311+1764+1135+3015+1547+179+111+595</f>
        <v>146367</v>
      </c>
      <c r="K76" s="223">
        <v>40928</v>
      </c>
    </row>
    <row r="77" spans="1:11" ht="15.75">
      <c r="A77" s="328" t="s">
        <v>151</v>
      </c>
      <c r="B77" s="61" t="s">
        <v>218</v>
      </c>
      <c r="C77" s="225">
        <v>40900</v>
      </c>
      <c r="D77" s="64" t="s">
        <v>68</v>
      </c>
      <c r="E77" s="263">
        <v>197</v>
      </c>
      <c r="F77" s="447">
        <v>7</v>
      </c>
      <c r="G77" s="292">
        <v>5902</v>
      </c>
      <c r="H77" s="293">
        <v>1375</v>
      </c>
      <c r="I77" s="276">
        <f>985836.5+657011.5+454728.5+206461+72029+16105.51+5902</f>
        <v>2398074.01</v>
      </c>
      <c r="J77" s="278">
        <f>106718+73176+50608+29114+10776+3413+1375</f>
        <v>275180</v>
      </c>
      <c r="K77" s="223">
        <v>40942</v>
      </c>
    </row>
    <row r="78" spans="1:11" ht="15.75">
      <c r="A78" s="328" t="s">
        <v>67</v>
      </c>
      <c r="B78" s="63" t="s">
        <v>85</v>
      </c>
      <c r="C78" s="225">
        <v>40844</v>
      </c>
      <c r="D78" s="64" t="s">
        <v>68</v>
      </c>
      <c r="E78" s="263">
        <v>278</v>
      </c>
      <c r="F78" s="264">
        <v>14</v>
      </c>
      <c r="G78" s="292">
        <v>5821</v>
      </c>
      <c r="H78" s="293">
        <v>661</v>
      </c>
      <c r="I78" s="276">
        <f>2021467.25+4147826.75+1641146.5+1086471.5+837723.5+353523.5+115157+12431.5+1554+13261.5+3397.5+17222.5+17226.5+5821</f>
        <v>10274230.5</v>
      </c>
      <c r="J78" s="278">
        <f>231121+459388+190384+130345+104513+46481+14878+1830+250+1860+737+1888+2090+661</f>
        <v>1186426</v>
      </c>
      <c r="K78" s="271">
        <v>40935</v>
      </c>
    </row>
    <row r="79" spans="1:11" ht="15.75">
      <c r="A79" s="328" t="s">
        <v>73</v>
      </c>
      <c r="B79" s="63" t="s">
        <v>87</v>
      </c>
      <c r="C79" s="225">
        <v>40858</v>
      </c>
      <c r="D79" s="64" t="s">
        <v>68</v>
      </c>
      <c r="E79" s="263">
        <v>32</v>
      </c>
      <c r="F79" s="264">
        <v>8</v>
      </c>
      <c r="G79" s="292">
        <v>5519</v>
      </c>
      <c r="H79" s="293">
        <v>782</v>
      </c>
      <c r="I79" s="276">
        <f>119417+74006.5+30939.5+15734+17682+7740+3814.5+5519</f>
        <v>274852.5</v>
      </c>
      <c r="J79" s="278">
        <f>12383+8559+4204+1986+2778+1301+707+782</f>
        <v>32700</v>
      </c>
      <c r="K79" s="316">
        <v>40907</v>
      </c>
    </row>
    <row r="80" spans="1:11" ht="15.75">
      <c r="A80" s="335" t="s">
        <v>106</v>
      </c>
      <c r="B80" s="61" t="s">
        <v>114</v>
      </c>
      <c r="C80" s="225">
        <v>40879</v>
      </c>
      <c r="D80" s="64" t="s">
        <v>8</v>
      </c>
      <c r="E80" s="259">
        <v>39</v>
      </c>
      <c r="F80" s="217">
        <v>6</v>
      </c>
      <c r="G80" s="312">
        <v>5509</v>
      </c>
      <c r="H80" s="313">
        <v>890</v>
      </c>
      <c r="I80" s="314">
        <v>213369</v>
      </c>
      <c r="J80" s="315">
        <v>23749</v>
      </c>
      <c r="K80" s="223">
        <v>40914</v>
      </c>
    </row>
    <row r="81" spans="1:11" ht="15.75">
      <c r="A81" s="328" t="s">
        <v>115</v>
      </c>
      <c r="B81" s="61" t="s">
        <v>116</v>
      </c>
      <c r="C81" s="225">
        <v>40886</v>
      </c>
      <c r="D81" s="64" t="s">
        <v>12</v>
      </c>
      <c r="E81" s="263">
        <v>161</v>
      </c>
      <c r="F81" s="264">
        <v>7</v>
      </c>
      <c r="G81" s="288">
        <v>5488</v>
      </c>
      <c r="H81" s="289">
        <v>871</v>
      </c>
      <c r="I81" s="266">
        <v>879619</v>
      </c>
      <c r="J81" s="267">
        <v>107284</v>
      </c>
      <c r="K81" s="223">
        <v>40928</v>
      </c>
    </row>
    <row r="82" spans="1:11" ht="15.75">
      <c r="A82" s="321" t="s">
        <v>148</v>
      </c>
      <c r="B82" s="64" t="s">
        <v>112</v>
      </c>
      <c r="C82" s="225">
        <v>40900</v>
      </c>
      <c r="D82" s="64" t="s">
        <v>52</v>
      </c>
      <c r="E82" s="284">
        <v>14</v>
      </c>
      <c r="F82" s="277">
        <v>5</v>
      </c>
      <c r="G82" s="371">
        <v>5447</v>
      </c>
      <c r="H82" s="372">
        <v>752</v>
      </c>
      <c r="I82" s="366">
        <f>43848.5+19458.5+4777+1091+5447</f>
        <v>74622</v>
      </c>
      <c r="J82" s="267">
        <f>3764+1850+439+142+752</f>
        <v>6947</v>
      </c>
      <c r="K82" s="223">
        <v>40928</v>
      </c>
    </row>
    <row r="83" spans="1:11" ht="15.75">
      <c r="A83" s="305" t="s">
        <v>337</v>
      </c>
      <c r="B83" s="66" t="s">
        <v>339</v>
      </c>
      <c r="C83" s="225">
        <v>40914</v>
      </c>
      <c r="D83" s="64" t="s">
        <v>53</v>
      </c>
      <c r="E83" s="280">
        <v>97</v>
      </c>
      <c r="F83" s="281">
        <v>5</v>
      </c>
      <c r="G83" s="462">
        <v>5443</v>
      </c>
      <c r="H83" s="289">
        <v>733</v>
      </c>
      <c r="I83" s="451">
        <f>216520+198358.5+149589.5+18051.79+5443</f>
        <v>587962.79</v>
      </c>
      <c r="J83" s="267">
        <f>26831+25025+19383+2440+733</f>
        <v>74412</v>
      </c>
      <c r="K83" s="223">
        <v>40942</v>
      </c>
    </row>
    <row r="84" spans="1:11" ht="15.75">
      <c r="A84" s="335" t="s">
        <v>106</v>
      </c>
      <c r="B84" s="61" t="s">
        <v>114</v>
      </c>
      <c r="C84" s="225">
        <v>40879</v>
      </c>
      <c r="D84" s="64" t="s">
        <v>8</v>
      </c>
      <c r="E84" s="263">
        <v>39</v>
      </c>
      <c r="F84" s="273">
        <v>8</v>
      </c>
      <c r="G84" s="373">
        <v>5216</v>
      </c>
      <c r="H84" s="374">
        <v>689</v>
      </c>
      <c r="I84" s="274">
        <v>223515</v>
      </c>
      <c r="J84" s="275">
        <v>25285</v>
      </c>
      <c r="K84" s="223">
        <v>40928</v>
      </c>
    </row>
    <row r="85" spans="1:11" ht="15.75">
      <c r="A85" s="328" t="s">
        <v>107</v>
      </c>
      <c r="B85" s="63" t="s">
        <v>123</v>
      </c>
      <c r="C85" s="225">
        <v>40879</v>
      </c>
      <c r="D85" s="64" t="s">
        <v>68</v>
      </c>
      <c r="E85" s="263">
        <v>202</v>
      </c>
      <c r="F85" s="447">
        <v>10</v>
      </c>
      <c r="G85" s="292">
        <v>5204.5</v>
      </c>
      <c r="H85" s="293">
        <v>922</v>
      </c>
      <c r="I85" s="276">
        <f>1080241.5+1088121+871543+502064+300294.5+131358.5+96969.5+68985+9253.5+5204.5</f>
        <v>4154035</v>
      </c>
      <c r="J85" s="278">
        <f>121812+123965+100674+61096+39726+19116+14898+10338+1416+922</f>
        <v>493963</v>
      </c>
      <c r="K85" s="223">
        <v>40942</v>
      </c>
    </row>
    <row r="86" spans="1:11" ht="15.75">
      <c r="A86" s="321" t="s">
        <v>74</v>
      </c>
      <c r="B86" s="67" t="s">
        <v>80</v>
      </c>
      <c r="C86" s="225">
        <v>40851</v>
      </c>
      <c r="D86" s="64" t="s">
        <v>53</v>
      </c>
      <c r="E86" s="272">
        <v>247</v>
      </c>
      <c r="F86" s="367">
        <v>12</v>
      </c>
      <c r="G86" s="288">
        <v>5006</v>
      </c>
      <c r="H86" s="289">
        <v>988</v>
      </c>
      <c r="I86" s="266">
        <f>2260223+2366876.75+3859638+3137342+1906742.5+252.25+1189485.5+474275+250512+184428+13126+754+5006</f>
        <v>15648661</v>
      </c>
      <c r="J86" s="267">
        <f>286038+329194+554088+452220+278080+42+178270+68355+40409+33224+1975+104+988</f>
        <v>2222987</v>
      </c>
      <c r="K86" s="223">
        <v>40928</v>
      </c>
    </row>
    <row r="87" spans="1:11" ht="15.75">
      <c r="A87" s="335" t="s">
        <v>106</v>
      </c>
      <c r="B87" s="61" t="s">
        <v>114</v>
      </c>
      <c r="C87" s="225">
        <v>40879</v>
      </c>
      <c r="D87" s="64" t="s">
        <v>8</v>
      </c>
      <c r="E87" s="263">
        <v>39</v>
      </c>
      <c r="F87" s="273">
        <v>7</v>
      </c>
      <c r="G87" s="290">
        <v>4931</v>
      </c>
      <c r="H87" s="291">
        <v>847</v>
      </c>
      <c r="I87" s="276">
        <v>216338</v>
      </c>
      <c r="J87" s="278">
        <v>24246</v>
      </c>
      <c r="K87" s="223">
        <v>40921</v>
      </c>
    </row>
    <row r="88" spans="1:11" ht="15.75">
      <c r="A88" s="321" t="s">
        <v>74</v>
      </c>
      <c r="B88" s="67" t="s">
        <v>80</v>
      </c>
      <c r="C88" s="492">
        <v>40851</v>
      </c>
      <c r="D88" s="64" t="s">
        <v>53</v>
      </c>
      <c r="E88" s="272">
        <v>247</v>
      </c>
      <c r="F88" s="281">
        <v>15</v>
      </c>
      <c r="G88" s="336">
        <v>4804</v>
      </c>
      <c r="H88" s="337">
        <v>960</v>
      </c>
      <c r="I88" s="268">
        <f>2260223+2366876.75+3859638+3137342+1906742.5+252.25+1189485.5+474275+250512+184428+13126+754+5006+188+4804</f>
        <v>15653653</v>
      </c>
      <c r="J88" s="269">
        <f>286038+329194+554088+452220+278080+42+178270+68355+40409+33224+1975+104+988+22+960</f>
        <v>2223969</v>
      </c>
      <c r="K88" s="223">
        <v>40949</v>
      </c>
    </row>
    <row r="89" spans="1:11" ht="15.75">
      <c r="A89" s="321" t="s">
        <v>148</v>
      </c>
      <c r="B89" s="64" t="s">
        <v>112</v>
      </c>
      <c r="C89" s="225">
        <v>40900</v>
      </c>
      <c r="D89" s="64" t="s">
        <v>52</v>
      </c>
      <c r="E89" s="260">
        <v>14</v>
      </c>
      <c r="F89" s="221">
        <v>3</v>
      </c>
      <c r="G89" s="338">
        <v>4777</v>
      </c>
      <c r="H89" s="339">
        <v>439</v>
      </c>
      <c r="I89" s="340">
        <f>43848.5+19458.5+4777</f>
        <v>68084</v>
      </c>
      <c r="J89" s="341">
        <f>3764+1850+439</f>
        <v>6053</v>
      </c>
      <c r="K89" s="223">
        <v>40914</v>
      </c>
    </row>
    <row r="90" spans="1:11" ht="15.75">
      <c r="A90" s="330" t="s">
        <v>120</v>
      </c>
      <c r="B90" s="61" t="s">
        <v>122</v>
      </c>
      <c r="C90" s="225">
        <v>40886</v>
      </c>
      <c r="D90" s="64" t="s">
        <v>121</v>
      </c>
      <c r="E90" s="263">
        <v>82</v>
      </c>
      <c r="F90" s="277">
        <v>6</v>
      </c>
      <c r="G90" s="296">
        <v>4728</v>
      </c>
      <c r="H90" s="297">
        <v>758</v>
      </c>
      <c r="I90" s="285">
        <v>642785</v>
      </c>
      <c r="J90" s="286">
        <v>74003</v>
      </c>
      <c r="K90" s="223">
        <v>40921</v>
      </c>
    </row>
    <row r="91" spans="1:11" ht="15.75">
      <c r="A91" s="328" t="s">
        <v>269</v>
      </c>
      <c r="B91" s="61" t="s">
        <v>284</v>
      </c>
      <c r="C91" s="225">
        <v>40809</v>
      </c>
      <c r="D91" s="64" t="s">
        <v>68</v>
      </c>
      <c r="E91" s="259">
        <v>66</v>
      </c>
      <c r="F91" s="311">
        <v>16</v>
      </c>
      <c r="G91" s="312">
        <v>4669.5</v>
      </c>
      <c r="H91" s="313">
        <v>1220</v>
      </c>
      <c r="I91" s="314">
        <f>382290+386122+344313.5+244996+104138.75+43618.5+27632+12528+6812+832+1782+2257+1782+5477.5+2138.5+4669.5</f>
        <v>1571389.25</v>
      </c>
      <c r="J91" s="315">
        <f>34863+36137+32260+23896+12188+5940+2894+1417+1234+90+446+565+446+1293+535+1220</f>
        <v>155424</v>
      </c>
      <c r="K91" s="223">
        <v>40914</v>
      </c>
    </row>
    <row r="92" spans="1:11" ht="15.75">
      <c r="A92" s="307" t="s">
        <v>104</v>
      </c>
      <c r="B92" s="61" t="s">
        <v>105</v>
      </c>
      <c r="C92" s="493">
        <v>40872</v>
      </c>
      <c r="D92" s="64" t="s">
        <v>10</v>
      </c>
      <c r="E92" s="263">
        <v>277</v>
      </c>
      <c r="F92" s="277">
        <v>12</v>
      </c>
      <c r="G92" s="499">
        <v>3968</v>
      </c>
      <c r="H92" s="500">
        <v>738</v>
      </c>
      <c r="I92" s="497">
        <v>10938759</v>
      </c>
      <c r="J92" s="498">
        <v>1170523</v>
      </c>
      <c r="K92" s="223">
        <v>40949</v>
      </c>
    </row>
    <row r="93" spans="1:11" ht="15.75">
      <c r="A93" s="307" t="s">
        <v>347</v>
      </c>
      <c r="B93" s="61" t="s">
        <v>348</v>
      </c>
      <c r="C93" s="225">
        <v>40914</v>
      </c>
      <c r="D93" s="64" t="s">
        <v>12</v>
      </c>
      <c r="E93" s="263">
        <v>204</v>
      </c>
      <c r="F93" s="264">
        <v>7</v>
      </c>
      <c r="G93" s="336">
        <v>3893</v>
      </c>
      <c r="H93" s="337">
        <v>525</v>
      </c>
      <c r="I93" s="268">
        <v>5357351</v>
      </c>
      <c r="J93" s="269">
        <v>578060</v>
      </c>
      <c r="K93" s="223">
        <v>40956</v>
      </c>
    </row>
    <row r="94" spans="1:11" ht="15.75">
      <c r="A94" s="328" t="s">
        <v>353</v>
      </c>
      <c r="B94" s="63" t="s">
        <v>364</v>
      </c>
      <c r="C94" s="225">
        <v>40676</v>
      </c>
      <c r="D94" s="64" t="s">
        <v>68</v>
      </c>
      <c r="E94" s="259">
        <v>10</v>
      </c>
      <c r="F94" s="311">
        <v>20</v>
      </c>
      <c r="G94" s="312">
        <v>3801.5</v>
      </c>
      <c r="H94" s="313">
        <v>950</v>
      </c>
      <c r="I94" s="314">
        <f>19776.5+5289.5+3941.5+4149+6030.5+491+2263+886+669+235+576+182+578+116+1188+1782+1782+1782+1782+3801.5</f>
        <v>57300.5</v>
      </c>
      <c r="J94" s="315">
        <f>2214+710+772+646+1024+103+434+139+105+46+100+16+62+13+297+446+446+446+446+950</f>
        <v>9415</v>
      </c>
      <c r="K94" s="223">
        <v>40914</v>
      </c>
    </row>
    <row r="95" spans="1:11" ht="15.75">
      <c r="A95" s="328" t="s">
        <v>398</v>
      </c>
      <c r="B95" s="63" t="s">
        <v>218</v>
      </c>
      <c r="C95" s="225">
        <v>40627</v>
      </c>
      <c r="D95" s="64" t="s">
        <v>68</v>
      </c>
      <c r="E95" s="263">
        <v>137</v>
      </c>
      <c r="F95" s="264">
        <v>25</v>
      </c>
      <c r="G95" s="292">
        <v>3801.5</v>
      </c>
      <c r="H95" s="293">
        <v>950</v>
      </c>
      <c r="I95" s="276">
        <f>1066061.5+1061275+813239.75+606216+468367.5+266511+137274.5+89937.5+9478+4671.5+2215.5+593.5+2273.5+2234+1858+10514.5+2603+2122+2001+349+713+2613.5+475.5+3801.5</f>
        <v>4557399.75</v>
      </c>
      <c r="J95" s="278">
        <f>110278+106719+82858+62672+50883+32012+17904+13463+1427+637+352+91+261+268+240+2410+402+325+272+26+178+653+109+950</f>
        <v>485390</v>
      </c>
      <c r="K95" s="223">
        <v>40921</v>
      </c>
    </row>
    <row r="96" spans="1:11" ht="15.75">
      <c r="A96" s="328" t="s">
        <v>143</v>
      </c>
      <c r="B96" s="61" t="s">
        <v>127</v>
      </c>
      <c r="C96" s="225">
        <v>40893</v>
      </c>
      <c r="D96" s="64" t="s">
        <v>68</v>
      </c>
      <c r="E96" s="263">
        <v>23</v>
      </c>
      <c r="F96" s="264">
        <v>10</v>
      </c>
      <c r="G96" s="292">
        <v>3801.5</v>
      </c>
      <c r="H96" s="293">
        <v>760</v>
      </c>
      <c r="I96" s="276">
        <f>53228.5+28585+20298.5+8299+5922+6463+2186.5+3291+2777+3801.5</f>
        <v>134852</v>
      </c>
      <c r="J96" s="278">
        <f>6440+3537+2691+1237+891+1419+633+570+423+760</f>
        <v>18601</v>
      </c>
      <c r="K96" s="223">
        <v>40956</v>
      </c>
    </row>
    <row r="97" spans="1:11" ht="15.75">
      <c r="A97" s="321" t="s">
        <v>74</v>
      </c>
      <c r="B97" s="67" t="s">
        <v>80</v>
      </c>
      <c r="C97" s="225">
        <v>40851</v>
      </c>
      <c r="D97" s="64" t="s">
        <v>53</v>
      </c>
      <c r="E97" s="272">
        <v>247</v>
      </c>
      <c r="F97" s="281">
        <v>16</v>
      </c>
      <c r="G97" s="322">
        <v>3604</v>
      </c>
      <c r="H97" s="323">
        <v>721</v>
      </c>
      <c r="I97" s="282">
        <f>2260223+2366876.75+3859638+3137342+1906742.5+252.25+1189485.5+474275+250512+184428+13126+754+5006+188+4804+3604</f>
        <v>15657257</v>
      </c>
      <c r="J97" s="283">
        <f>286038+329194+554088+452220+278080+42+178270+68355+40409+33224+1975+104+988+22+960+721</f>
        <v>2224690</v>
      </c>
      <c r="K97" s="223">
        <v>40956</v>
      </c>
    </row>
    <row r="98" spans="1:11" ht="15.75">
      <c r="A98" s="328" t="s">
        <v>151</v>
      </c>
      <c r="B98" s="61" t="s">
        <v>218</v>
      </c>
      <c r="C98" s="492">
        <v>40900</v>
      </c>
      <c r="D98" s="64" t="s">
        <v>68</v>
      </c>
      <c r="E98" s="263">
        <v>197</v>
      </c>
      <c r="F98" s="264">
        <v>8</v>
      </c>
      <c r="G98" s="499">
        <v>3599</v>
      </c>
      <c r="H98" s="500">
        <v>639</v>
      </c>
      <c r="I98" s="497">
        <f>985836.5+657011.5+454728.5+206461+72029+16105.51+5902+3599</f>
        <v>2401673.01</v>
      </c>
      <c r="J98" s="498">
        <f>106718+73176+50608+29114+10776+3413+1375+639</f>
        <v>275819</v>
      </c>
      <c r="K98" s="223">
        <v>40949</v>
      </c>
    </row>
    <row r="99" spans="1:11" ht="15.75">
      <c r="A99" s="321" t="s">
        <v>77</v>
      </c>
      <c r="B99" s="64" t="s">
        <v>188</v>
      </c>
      <c r="C99" s="492">
        <v>40865</v>
      </c>
      <c r="D99" s="64" t="s">
        <v>52</v>
      </c>
      <c r="E99" s="284">
        <v>64</v>
      </c>
      <c r="F99" s="277">
        <v>10</v>
      </c>
      <c r="G99" s="336">
        <v>3564</v>
      </c>
      <c r="H99" s="337">
        <v>712</v>
      </c>
      <c r="I99" s="268">
        <f>256046+137037.5+20115+5099+3542+3484.5+1302+1985+195+659+3564</f>
        <v>433029</v>
      </c>
      <c r="J99" s="269">
        <f>25390+13650+2140+705+587+707+246+352+31+92+712</f>
        <v>44612</v>
      </c>
      <c r="K99" s="223">
        <v>40949</v>
      </c>
    </row>
    <row r="100" spans="1:11" ht="15.75">
      <c r="A100" s="328" t="s">
        <v>67</v>
      </c>
      <c r="B100" s="63" t="s">
        <v>85</v>
      </c>
      <c r="C100" s="225">
        <v>40844</v>
      </c>
      <c r="D100" s="64" t="s">
        <v>68</v>
      </c>
      <c r="E100" s="259">
        <v>278</v>
      </c>
      <c r="F100" s="311">
        <v>11</v>
      </c>
      <c r="G100" s="312">
        <v>3397.5</v>
      </c>
      <c r="H100" s="313">
        <v>737</v>
      </c>
      <c r="I100" s="314">
        <f>2021467.25+4147826.75+1641146.5+1086471.5+837723.5+353523.5+115157+12431.5+1554+13261.5+3397.5</f>
        <v>10233960.5</v>
      </c>
      <c r="J100" s="315">
        <f>231121+459388+190384+130345+104513+46481+14878+1830+250+1860+737</f>
        <v>1181787</v>
      </c>
      <c r="K100" s="223">
        <v>40914</v>
      </c>
    </row>
    <row r="101" spans="1:11" ht="15.75">
      <c r="A101" s="328" t="s">
        <v>143</v>
      </c>
      <c r="B101" s="61" t="s">
        <v>127</v>
      </c>
      <c r="C101" s="225">
        <v>40893</v>
      </c>
      <c r="D101" s="64" t="s">
        <v>68</v>
      </c>
      <c r="E101" s="263">
        <v>23</v>
      </c>
      <c r="F101" s="447">
        <v>8</v>
      </c>
      <c r="G101" s="292">
        <v>3291</v>
      </c>
      <c r="H101" s="293">
        <v>570</v>
      </c>
      <c r="I101" s="276">
        <f>53228.5+28585+20298.5+8299+5922+6463+2186.5+3291</f>
        <v>128273.5</v>
      </c>
      <c r="J101" s="278">
        <f>6440+3537+2691+1237+891+1419+633+570</f>
        <v>17418</v>
      </c>
      <c r="K101" s="223">
        <v>40942</v>
      </c>
    </row>
    <row r="102" spans="1:11" ht="15.75">
      <c r="A102" s="335" t="s">
        <v>110</v>
      </c>
      <c r="B102" s="61" t="s">
        <v>113</v>
      </c>
      <c r="C102" s="225">
        <v>40879</v>
      </c>
      <c r="D102" s="64" t="s">
        <v>53</v>
      </c>
      <c r="E102" s="263">
        <v>135</v>
      </c>
      <c r="F102" s="281">
        <v>10</v>
      </c>
      <c r="G102" s="462">
        <v>3058</v>
      </c>
      <c r="H102" s="289">
        <v>435</v>
      </c>
      <c r="I102" s="451">
        <f>1709882.25+1194489.75+708906.5+376327+70+197271.5+73341.5+70692.5+50480.5+9953.5+3058</f>
        <v>4394473</v>
      </c>
      <c r="J102" s="267">
        <f>195314+135261+80447+45395+10+25625+10302+10950+7727+1402+435</f>
        <v>512868</v>
      </c>
      <c r="K102" s="223">
        <v>40942</v>
      </c>
    </row>
    <row r="103" spans="1:11" ht="15.75">
      <c r="A103" s="321" t="s">
        <v>731</v>
      </c>
      <c r="B103" s="64" t="s">
        <v>736</v>
      </c>
      <c r="C103" s="225">
        <v>40606</v>
      </c>
      <c r="D103" s="64" t="s">
        <v>52</v>
      </c>
      <c r="E103" s="284">
        <v>152</v>
      </c>
      <c r="F103" s="264">
        <v>19</v>
      </c>
      <c r="G103" s="322">
        <v>2970</v>
      </c>
      <c r="H103" s="323">
        <v>594</v>
      </c>
      <c r="I103" s="282">
        <f>1064857.25+602581.25+269086.5+86552+70688+40243.5+15124.5+5534.5+5248.5+1364+305+140+147+994+250+240+70+55+2970</f>
        <v>2166451</v>
      </c>
      <c r="J103" s="283">
        <f>118954+67997+33243+12973+11521+6623+2561+922+800+239+45+20+21+199+36+34+14+11+594</f>
        <v>256807</v>
      </c>
      <c r="K103" s="223">
        <v>40956</v>
      </c>
    </row>
    <row r="104" spans="1:11" ht="15.75">
      <c r="A104" s="330" t="s">
        <v>120</v>
      </c>
      <c r="B104" s="61" t="s">
        <v>122</v>
      </c>
      <c r="C104" s="225">
        <v>40886</v>
      </c>
      <c r="D104" s="64" t="s">
        <v>121</v>
      </c>
      <c r="E104" s="263">
        <v>82</v>
      </c>
      <c r="F104" s="277">
        <v>7</v>
      </c>
      <c r="G104" s="296">
        <v>2957.9</v>
      </c>
      <c r="H104" s="297">
        <v>493</v>
      </c>
      <c r="I104" s="285">
        <v>645699.9</v>
      </c>
      <c r="J104" s="286">
        <v>74489</v>
      </c>
      <c r="K104" s="223">
        <v>40928</v>
      </c>
    </row>
    <row r="105" spans="1:11" ht="15.75">
      <c r="A105" s="328" t="s">
        <v>269</v>
      </c>
      <c r="B105" s="61" t="s">
        <v>284</v>
      </c>
      <c r="C105" s="492">
        <v>40809</v>
      </c>
      <c r="D105" s="64" t="s">
        <v>68</v>
      </c>
      <c r="E105" s="263">
        <v>66</v>
      </c>
      <c r="F105" s="264">
        <v>17</v>
      </c>
      <c r="G105" s="499">
        <v>2851.5</v>
      </c>
      <c r="H105" s="500">
        <v>571</v>
      </c>
      <c r="I105" s="497">
        <f>382290+386122+344313.5+244996+104138.75+43618.5+27632+12528+6812+832+1782+2257+1782+5477.5+2138.5+4669.5+970+2851.5</f>
        <v>1575210.75</v>
      </c>
      <c r="J105" s="498">
        <f>34863+36137+32260+23896+12188+5940+2894+1417+1234+90+446+565+446+1293+535+1220+404+571</f>
        <v>156399</v>
      </c>
      <c r="K105" s="223">
        <v>40949</v>
      </c>
    </row>
    <row r="106" spans="1:11" ht="15.75">
      <c r="A106" s="328" t="s">
        <v>67</v>
      </c>
      <c r="B106" s="63" t="s">
        <v>85</v>
      </c>
      <c r="C106" s="492">
        <v>40844</v>
      </c>
      <c r="D106" s="64" t="s">
        <v>68</v>
      </c>
      <c r="E106" s="263">
        <v>278</v>
      </c>
      <c r="F106" s="264">
        <v>15</v>
      </c>
      <c r="G106" s="499">
        <v>2851</v>
      </c>
      <c r="H106" s="500">
        <v>570</v>
      </c>
      <c r="I106" s="497">
        <f>2021467.25+4147826.75+1641146.5+1086471.5+837723.5+353523.5+115157+12431.5+1554+13261.5+3397.5+17222.5+17226.5+5821+1188+2851</f>
        <v>10278269.5</v>
      </c>
      <c r="J106" s="498">
        <f>231121+459388+190384+130345+104513+46481+14878+1830+250+1860+737+1888+2090+661+238+570</f>
        <v>1187234</v>
      </c>
      <c r="K106" s="223">
        <v>40949</v>
      </c>
    </row>
    <row r="107" spans="1:11" ht="15.75">
      <c r="A107" s="328" t="s">
        <v>143</v>
      </c>
      <c r="B107" s="61" t="s">
        <v>127</v>
      </c>
      <c r="C107" s="492">
        <v>40893</v>
      </c>
      <c r="D107" s="64" t="s">
        <v>68</v>
      </c>
      <c r="E107" s="263">
        <v>23</v>
      </c>
      <c r="F107" s="264">
        <v>9</v>
      </c>
      <c r="G107" s="499">
        <v>2777</v>
      </c>
      <c r="H107" s="500">
        <v>423</v>
      </c>
      <c r="I107" s="497">
        <f>53228.5+28585+20298.5+8299+5922+6463+2186.5+3291+2777</f>
        <v>131050.5</v>
      </c>
      <c r="J107" s="498">
        <f>6440+3537+2691+1237+891+1419+633+570+423</f>
        <v>17841</v>
      </c>
      <c r="K107" s="223">
        <v>40949</v>
      </c>
    </row>
    <row r="108" spans="1:11" ht="15.75">
      <c r="A108" s="321" t="s">
        <v>148</v>
      </c>
      <c r="B108" s="64" t="s">
        <v>112</v>
      </c>
      <c r="C108" s="225">
        <v>40900</v>
      </c>
      <c r="D108" s="64" t="s">
        <v>52</v>
      </c>
      <c r="E108" s="284">
        <v>14</v>
      </c>
      <c r="F108" s="277">
        <v>6</v>
      </c>
      <c r="G108" s="420">
        <v>2629</v>
      </c>
      <c r="H108" s="421">
        <v>413</v>
      </c>
      <c r="I108" s="414">
        <v>77251</v>
      </c>
      <c r="J108" s="415">
        <v>7360</v>
      </c>
      <c r="K108" s="271">
        <v>40935</v>
      </c>
    </row>
    <row r="109" spans="1:11" ht="15.75">
      <c r="A109" s="305" t="s">
        <v>335</v>
      </c>
      <c r="B109" s="66" t="s">
        <v>338</v>
      </c>
      <c r="C109" s="225">
        <v>40830</v>
      </c>
      <c r="D109" s="64" t="s">
        <v>53</v>
      </c>
      <c r="E109" s="261">
        <v>142</v>
      </c>
      <c r="F109" s="324">
        <v>12</v>
      </c>
      <c r="G109" s="325">
        <v>2402</v>
      </c>
      <c r="H109" s="318">
        <v>480</v>
      </c>
      <c r="I109" s="326">
        <f>248732+139942.5+41015.5+4968+2270+1973+10279+6007+1097+295+261+2402</f>
        <v>459242</v>
      </c>
      <c r="J109" s="320">
        <f>33636+19210+5940+800+378+422+1552+983+159+45+36+480</f>
        <v>63641</v>
      </c>
      <c r="K109" s="223">
        <v>40914</v>
      </c>
    </row>
    <row r="110" spans="1:11" ht="15.75">
      <c r="A110" s="307" t="s">
        <v>104</v>
      </c>
      <c r="B110" s="61" t="s">
        <v>105</v>
      </c>
      <c r="C110" s="226">
        <v>40872</v>
      </c>
      <c r="D110" s="64" t="s">
        <v>10</v>
      </c>
      <c r="E110" s="263">
        <v>277</v>
      </c>
      <c r="F110" s="277">
        <v>10</v>
      </c>
      <c r="G110" s="292">
        <v>2354</v>
      </c>
      <c r="H110" s="293">
        <v>410</v>
      </c>
      <c r="I110" s="276">
        <v>10933585</v>
      </c>
      <c r="J110" s="278">
        <v>1169555</v>
      </c>
      <c r="K110" s="271">
        <v>40935</v>
      </c>
    </row>
    <row r="111" spans="1:11" ht="15.75">
      <c r="A111" s="305" t="s">
        <v>337</v>
      </c>
      <c r="B111" s="66" t="s">
        <v>339</v>
      </c>
      <c r="C111" s="492">
        <v>40914</v>
      </c>
      <c r="D111" s="64" t="s">
        <v>53</v>
      </c>
      <c r="E111" s="280">
        <v>97</v>
      </c>
      <c r="F111" s="281">
        <v>6</v>
      </c>
      <c r="G111" s="336">
        <v>2220</v>
      </c>
      <c r="H111" s="337">
        <v>337</v>
      </c>
      <c r="I111" s="268">
        <f>216520+198358.5+149589.5+18051.79+5443+2220</f>
        <v>590182.79</v>
      </c>
      <c r="J111" s="269">
        <f>26831+25025+19383+2440+733+337</f>
        <v>74749</v>
      </c>
      <c r="K111" s="223">
        <v>40949</v>
      </c>
    </row>
    <row r="112" spans="1:11" ht="15.75">
      <c r="A112" s="328" t="s">
        <v>143</v>
      </c>
      <c r="B112" s="61" t="s">
        <v>127</v>
      </c>
      <c r="C112" s="225">
        <v>40893</v>
      </c>
      <c r="D112" s="64" t="s">
        <v>68</v>
      </c>
      <c r="E112" s="263">
        <v>23</v>
      </c>
      <c r="F112" s="264">
        <v>7</v>
      </c>
      <c r="G112" s="292">
        <v>2186.5</v>
      </c>
      <c r="H112" s="293">
        <v>633</v>
      </c>
      <c r="I112" s="276">
        <f>53228.5+28585+20298.5+8299+5922+6463+2186.5</f>
        <v>124982.5</v>
      </c>
      <c r="J112" s="278">
        <f>6440+3537+2691+1237+891+1419+633</f>
        <v>16848</v>
      </c>
      <c r="K112" s="271">
        <v>40935</v>
      </c>
    </row>
    <row r="113" spans="1:11" ht="15.75">
      <c r="A113" s="328" t="s">
        <v>269</v>
      </c>
      <c r="B113" s="61" t="s">
        <v>284</v>
      </c>
      <c r="C113" s="225">
        <v>40809</v>
      </c>
      <c r="D113" s="64" t="s">
        <v>68</v>
      </c>
      <c r="E113" s="263">
        <v>66</v>
      </c>
      <c r="F113" s="327">
        <v>15</v>
      </c>
      <c r="G113" s="292">
        <v>2138.5</v>
      </c>
      <c r="H113" s="293">
        <v>535</v>
      </c>
      <c r="I113" s="276">
        <f>382290+386122+344313.5+244996+104138.75+43618.5+27632+12528+6812+832+1782+2257+1782+5477.5+2138.5</f>
        <v>1566719.75</v>
      </c>
      <c r="J113" s="278">
        <f>34863+36137+32260+23896+12188+5940+2894+1417+1234+90+446+565+446+1293+535</f>
        <v>154204</v>
      </c>
      <c r="K113" s="316">
        <v>40907</v>
      </c>
    </row>
    <row r="114" spans="1:11" ht="15.75">
      <c r="A114" s="328" t="s">
        <v>353</v>
      </c>
      <c r="B114" s="63" t="s">
        <v>364</v>
      </c>
      <c r="C114" s="225">
        <v>40676</v>
      </c>
      <c r="D114" s="64" t="s">
        <v>68</v>
      </c>
      <c r="E114" s="263">
        <v>10</v>
      </c>
      <c r="F114" s="264">
        <v>21</v>
      </c>
      <c r="G114" s="292">
        <v>2138.5</v>
      </c>
      <c r="H114" s="293">
        <v>535</v>
      </c>
      <c r="I114" s="276">
        <f>19776.5+5289.5+3941.5+4149+6030.5+491+2263+886+669+235+576+182+578+116+1188+1782+1782+1782+1782+3801.5+2138.5</f>
        <v>59439</v>
      </c>
      <c r="J114" s="278">
        <f>2214+710+772+646+1024+103+434+139+105+46+100+16+62+13+297+446+446+446+446+950+535</f>
        <v>9950</v>
      </c>
      <c r="K114" s="223">
        <v>40921</v>
      </c>
    </row>
    <row r="115" spans="1:11" ht="15.75">
      <c r="A115" s="321" t="s">
        <v>77</v>
      </c>
      <c r="B115" s="64" t="s">
        <v>188</v>
      </c>
      <c r="C115" s="225">
        <v>40865</v>
      </c>
      <c r="D115" s="64" t="s">
        <v>52</v>
      </c>
      <c r="E115" s="260">
        <v>64</v>
      </c>
      <c r="F115" s="221">
        <v>8</v>
      </c>
      <c r="G115" s="338">
        <v>1985</v>
      </c>
      <c r="H115" s="339">
        <v>352</v>
      </c>
      <c r="I115" s="340">
        <f>256046+137037.5+20115+5099+3542+3484.5+1302+1985</f>
        <v>428611</v>
      </c>
      <c r="J115" s="341">
        <f>25390+13650+2140+705+587+707+246+352</f>
        <v>43777</v>
      </c>
      <c r="K115" s="223">
        <v>40914</v>
      </c>
    </row>
    <row r="116" spans="1:11" ht="15.75">
      <c r="A116" s="335" t="s">
        <v>304</v>
      </c>
      <c r="B116" s="61" t="s">
        <v>112</v>
      </c>
      <c r="C116" s="225">
        <v>40886</v>
      </c>
      <c r="D116" s="64" t="s">
        <v>52</v>
      </c>
      <c r="E116" s="287">
        <v>8</v>
      </c>
      <c r="F116" s="277">
        <v>5</v>
      </c>
      <c r="G116" s="294">
        <v>1920</v>
      </c>
      <c r="H116" s="295">
        <v>379</v>
      </c>
      <c r="I116" s="279">
        <f>11392+5145+695+1862+1920</f>
        <v>21014</v>
      </c>
      <c r="J116" s="267">
        <f>1392+701+109+241+379</f>
        <v>2822</v>
      </c>
      <c r="K116" s="223">
        <v>40921</v>
      </c>
    </row>
    <row r="117" spans="1:11" ht="15.75">
      <c r="A117" s="335" t="s">
        <v>304</v>
      </c>
      <c r="B117" s="61" t="s">
        <v>112</v>
      </c>
      <c r="C117" s="225">
        <v>40886</v>
      </c>
      <c r="D117" s="64" t="s">
        <v>52</v>
      </c>
      <c r="E117" s="287">
        <v>8</v>
      </c>
      <c r="F117" s="277">
        <v>4</v>
      </c>
      <c r="G117" s="342">
        <v>1862</v>
      </c>
      <c r="H117" s="343">
        <v>241</v>
      </c>
      <c r="I117" s="265">
        <f>11392+5145+695+1862</f>
        <v>19094</v>
      </c>
      <c r="J117" s="267">
        <f>1392+701+109+241</f>
        <v>2443</v>
      </c>
      <c r="K117" s="316">
        <v>40907</v>
      </c>
    </row>
    <row r="118" spans="1:11" ht="15.75">
      <c r="A118" s="328" t="s">
        <v>356</v>
      </c>
      <c r="B118" s="63" t="s">
        <v>366</v>
      </c>
      <c r="C118" s="225">
        <v>40795</v>
      </c>
      <c r="D118" s="64" t="s">
        <v>68</v>
      </c>
      <c r="E118" s="259">
        <v>3</v>
      </c>
      <c r="F118" s="311">
        <v>8</v>
      </c>
      <c r="G118" s="312">
        <v>1782</v>
      </c>
      <c r="H118" s="313">
        <v>446</v>
      </c>
      <c r="I118" s="314">
        <f>4125+2511+398+1048+854+482+594+1782</f>
        <v>11794</v>
      </c>
      <c r="J118" s="315">
        <f>422+287+52+100+134+61+149+446</f>
        <v>1651</v>
      </c>
      <c r="K118" s="223">
        <v>40914</v>
      </c>
    </row>
    <row r="119" spans="1:11" ht="15.75">
      <c r="A119" s="335" t="s">
        <v>304</v>
      </c>
      <c r="B119" s="61" t="s">
        <v>112</v>
      </c>
      <c r="C119" s="492">
        <v>40886</v>
      </c>
      <c r="D119" s="64" t="s">
        <v>52</v>
      </c>
      <c r="E119" s="287">
        <v>8</v>
      </c>
      <c r="F119" s="264">
        <v>6</v>
      </c>
      <c r="G119" s="336">
        <v>1782</v>
      </c>
      <c r="H119" s="337">
        <v>356</v>
      </c>
      <c r="I119" s="268">
        <f>11392+5145+695+1862+1920+1782</f>
        <v>22796</v>
      </c>
      <c r="J119" s="269">
        <f>1392+701+109+241+379+356</f>
        <v>3178</v>
      </c>
      <c r="K119" s="223">
        <v>40949</v>
      </c>
    </row>
    <row r="120" spans="1:11" ht="15.75">
      <c r="A120" s="328" t="s">
        <v>73</v>
      </c>
      <c r="B120" s="63" t="s">
        <v>87</v>
      </c>
      <c r="C120" s="225">
        <v>40858</v>
      </c>
      <c r="D120" s="64" t="s">
        <v>68</v>
      </c>
      <c r="E120" s="263">
        <v>32</v>
      </c>
      <c r="F120" s="264">
        <v>10</v>
      </c>
      <c r="G120" s="292">
        <v>1782</v>
      </c>
      <c r="H120" s="293">
        <v>325</v>
      </c>
      <c r="I120" s="276">
        <f>119417+74006.5+30939.5+15734+17682+7740+3814.5+5519+937+732+479+1782</f>
        <v>278782.5</v>
      </c>
      <c r="J120" s="278">
        <f>12383+8559+4204+1986+2778+1301+707+782+165+115+82+325</f>
        <v>33387</v>
      </c>
      <c r="K120" s="271">
        <v>40935</v>
      </c>
    </row>
    <row r="121" spans="1:11" ht="15.75">
      <c r="A121" s="328" t="s">
        <v>107</v>
      </c>
      <c r="B121" s="63" t="s">
        <v>123</v>
      </c>
      <c r="C121" s="492">
        <v>40879</v>
      </c>
      <c r="D121" s="64" t="s">
        <v>68</v>
      </c>
      <c r="E121" s="263">
        <v>202</v>
      </c>
      <c r="F121" s="264">
        <v>11</v>
      </c>
      <c r="G121" s="499">
        <v>1760.5</v>
      </c>
      <c r="H121" s="500">
        <v>322</v>
      </c>
      <c r="I121" s="497">
        <f>1080241.5+1088121+871543+502064+300294.5+131358.5+96969.5+68985+9253.5+5204.5+1760.5</f>
        <v>4155795.5</v>
      </c>
      <c r="J121" s="498">
        <f>121812+123965+100674+61096+39726+19116+14898+10338+1416+922+322</f>
        <v>494285</v>
      </c>
      <c r="K121" s="223">
        <v>40949</v>
      </c>
    </row>
    <row r="122" spans="1:11" ht="15.75">
      <c r="A122" s="305" t="s">
        <v>66</v>
      </c>
      <c r="B122" s="66" t="s">
        <v>81</v>
      </c>
      <c r="C122" s="225">
        <v>40844</v>
      </c>
      <c r="D122" s="64" t="s">
        <v>53</v>
      </c>
      <c r="E122" s="272">
        <v>245</v>
      </c>
      <c r="F122" s="281">
        <v>10</v>
      </c>
      <c r="G122" s="322">
        <v>1680</v>
      </c>
      <c r="H122" s="323">
        <v>262</v>
      </c>
      <c r="I122" s="282">
        <f>2095427.5+1865707+650031+295029.5+57559.5+69427+8354+22014.5+2923+1680</f>
        <v>5068153</v>
      </c>
      <c r="J122" s="283">
        <f>212522+189875+68849+32548+6112+10910+1695+4739+564+262</f>
        <v>528076</v>
      </c>
      <c r="K122" s="316">
        <v>40907</v>
      </c>
    </row>
    <row r="123" spans="1:11" ht="15.75">
      <c r="A123" s="321" t="s">
        <v>77</v>
      </c>
      <c r="B123" s="64" t="s">
        <v>188</v>
      </c>
      <c r="C123" s="225">
        <v>40865</v>
      </c>
      <c r="D123" s="64" t="s">
        <v>52</v>
      </c>
      <c r="E123" s="284">
        <v>64</v>
      </c>
      <c r="F123" s="277">
        <v>7</v>
      </c>
      <c r="G123" s="342">
        <v>1302</v>
      </c>
      <c r="H123" s="343">
        <v>246</v>
      </c>
      <c r="I123" s="265">
        <f>256046+137037.5+20115+5099+3542+3484.5+1302</f>
        <v>426626</v>
      </c>
      <c r="J123" s="267">
        <f>25390+13650+2140+705+587+707+246</f>
        <v>43425</v>
      </c>
      <c r="K123" s="316">
        <v>40907</v>
      </c>
    </row>
    <row r="124" spans="1:11" ht="15.75">
      <c r="A124" s="307" t="s">
        <v>104</v>
      </c>
      <c r="B124" s="61" t="s">
        <v>105</v>
      </c>
      <c r="C124" s="226">
        <v>40872</v>
      </c>
      <c r="D124" s="64" t="s">
        <v>10</v>
      </c>
      <c r="E124" s="263">
        <v>277</v>
      </c>
      <c r="F124" s="277">
        <v>11</v>
      </c>
      <c r="G124" s="292">
        <v>1206</v>
      </c>
      <c r="H124" s="293">
        <v>230</v>
      </c>
      <c r="I124" s="276">
        <v>10934791</v>
      </c>
      <c r="J124" s="278">
        <v>1169785</v>
      </c>
      <c r="K124" s="223">
        <v>40942</v>
      </c>
    </row>
    <row r="125" spans="1:11" ht="15.75">
      <c r="A125" s="328" t="s">
        <v>115</v>
      </c>
      <c r="B125" s="61" t="s">
        <v>116</v>
      </c>
      <c r="C125" s="492">
        <v>40886</v>
      </c>
      <c r="D125" s="64" t="s">
        <v>12</v>
      </c>
      <c r="E125" s="263">
        <v>161</v>
      </c>
      <c r="F125" s="264">
        <v>8</v>
      </c>
      <c r="G125" s="336">
        <v>1197</v>
      </c>
      <c r="H125" s="337">
        <v>189</v>
      </c>
      <c r="I125" s="268">
        <v>881014</v>
      </c>
      <c r="J125" s="269">
        <v>107500</v>
      </c>
      <c r="K125" s="223">
        <v>40949</v>
      </c>
    </row>
    <row r="126" spans="1:11" ht="15.75">
      <c r="A126" s="328" t="s">
        <v>67</v>
      </c>
      <c r="B126" s="63" t="s">
        <v>85</v>
      </c>
      <c r="C126" s="225">
        <v>40844</v>
      </c>
      <c r="D126" s="64" t="s">
        <v>68</v>
      </c>
      <c r="E126" s="263">
        <v>278</v>
      </c>
      <c r="F126" s="264">
        <v>15</v>
      </c>
      <c r="G126" s="292">
        <v>1188</v>
      </c>
      <c r="H126" s="293">
        <v>238</v>
      </c>
      <c r="I126" s="276">
        <f>2021467.25+4147826.75+1641146.5+1086471.5+837723.5+353523.5+115157+12431.5+1554+13261.5+3397.5+17222.5+17226.5+5821+1188</f>
        <v>10275418.5</v>
      </c>
      <c r="J126" s="278">
        <f>231121+459388+190384+130345+104513+46481+14878+1830+250+1860+737+1888+2090+661+238</f>
        <v>1186664</v>
      </c>
      <c r="K126" s="223">
        <v>40942</v>
      </c>
    </row>
    <row r="127" spans="1:11" ht="15.75">
      <c r="A127" s="328" t="s">
        <v>73</v>
      </c>
      <c r="B127" s="63" t="s">
        <v>87</v>
      </c>
      <c r="C127" s="225">
        <v>40858</v>
      </c>
      <c r="D127" s="64" t="s">
        <v>68</v>
      </c>
      <c r="E127" s="263">
        <v>32</v>
      </c>
      <c r="F127" s="264">
        <v>13</v>
      </c>
      <c r="G127" s="292">
        <v>1188</v>
      </c>
      <c r="H127" s="293">
        <v>238</v>
      </c>
      <c r="I127" s="276">
        <f>119417+74006.5+30939.5+15734+17682+7740+3814.5+5519+937+732+479+1782+1188</f>
        <v>279970.5</v>
      </c>
      <c r="J127" s="278">
        <f>12383+8559+4204+1986+2778+1301+707+782+165+115+82+325+238</f>
        <v>33625</v>
      </c>
      <c r="K127" s="223">
        <v>40942</v>
      </c>
    </row>
    <row r="128" spans="1:11" ht="15.75">
      <c r="A128" s="321" t="s">
        <v>733</v>
      </c>
      <c r="B128" s="64" t="s">
        <v>735</v>
      </c>
      <c r="C128" s="225">
        <v>40165</v>
      </c>
      <c r="D128" s="64" t="s">
        <v>52</v>
      </c>
      <c r="E128" s="284">
        <v>38</v>
      </c>
      <c r="F128" s="264">
        <v>37</v>
      </c>
      <c r="G128" s="322">
        <v>1188</v>
      </c>
      <c r="H128" s="323">
        <v>238</v>
      </c>
      <c r="I128" s="282">
        <f>1139387+1188</f>
        <v>1140575</v>
      </c>
      <c r="J128" s="283">
        <f>139628+238</f>
        <v>139866</v>
      </c>
      <c r="K128" s="223">
        <v>40956</v>
      </c>
    </row>
    <row r="129" spans="1:11" ht="15.75">
      <c r="A129" s="321" t="s">
        <v>148</v>
      </c>
      <c r="B129" s="64" t="s">
        <v>112</v>
      </c>
      <c r="C129" s="492">
        <v>40900</v>
      </c>
      <c r="D129" s="64" t="s">
        <v>52</v>
      </c>
      <c r="E129" s="284">
        <v>14</v>
      </c>
      <c r="F129" s="264">
        <v>7</v>
      </c>
      <c r="G129" s="336">
        <v>1105</v>
      </c>
      <c r="H129" s="337">
        <v>159</v>
      </c>
      <c r="I129" s="268">
        <f>43848.5+19458.5+4777+1091+5447+2629+1105</f>
        <v>78356</v>
      </c>
      <c r="J129" s="269">
        <f>3764+1850+439+142+752+413+159</f>
        <v>7519</v>
      </c>
      <c r="K129" s="223">
        <v>40949</v>
      </c>
    </row>
    <row r="130" spans="1:11" ht="15.75">
      <c r="A130" s="321" t="s">
        <v>148</v>
      </c>
      <c r="B130" s="64" t="s">
        <v>112</v>
      </c>
      <c r="C130" s="225">
        <v>40900</v>
      </c>
      <c r="D130" s="64" t="s">
        <v>52</v>
      </c>
      <c r="E130" s="284">
        <v>14</v>
      </c>
      <c r="F130" s="277">
        <v>4</v>
      </c>
      <c r="G130" s="294">
        <v>1091</v>
      </c>
      <c r="H130" s="295">
        <v>142</v>
      </c>
      <c r="I130" s="279">
        <f>43848.5+19458.5+4777+1091</f>
        <v>69175</v>
      </c>
      <c r="J130" s="267">
        <f>3764+1850+439+142</f>
        <v>6195</v>
      </c>
      <c r="K130" s="223">
        <v>40921</v>
      </c>
    </row>
    <row r="131" spans="1:11" ht="15.75">
      <c r="A131" s="335" t="s">
        <v>71</v>
      </c>
      <c r="B131" s="61" t="s">
        <v>82</v>
      </c>
      <c r="C131" s="226">
        <v>40858</v>
      </c>
      <c r="D131" s="64" t="s">
        <v>53</v>
      </c>
      <c r="E131" s="259">
        <v>130</v>
      </c>
      <c r="F131" s="324">
        <v>2</v>
      </c>
      <c r="G131" s="325">
        <v>1085</v>
      </c>
      <c r="H131" s="318">
        <v>179</v>
      </c>
      <c r="I131" s="326">
        <f>665902+436506+215139.5+18371+13790+6539+18719+8754+1085</f>
        <v>1384805.5</v>
      </c>
      <c r="J131" s="320">
        <f>66262+44749+24699+2311+1764+1135+3015+1547+179</f>
        <v>145661</v>
      </c>
      <c r="K131" s="223">
        <v>40914</v>
      </c>
    </row>
    <row r="132" spans="1:11" ht="15.75">
      <c r="A132" s="328" t="s">
        <v>269</v>
      </c>
      <c r="B132" s="61" t="s">
        <v>284</v>
      </c>
      <c r="C132" s="225">
        <v>40809</v>
      </c>
      <c r="D132" s="64" t="s">
        <v>68</v>
      </c>
      <c r="E132" s="263">
        <v>66</v>
      </c>
      <c r="F132" s="264">
        <v>17</v>
      </c>
      <c r="G132" s="292">
        <v>970</v>
      </c>
      <c r="H132" s="293">
        <v>404</v>
      </c>
      <c r="I132" s="276">
        <f>382290+386122+344313.5+244996+104138.75+43618.5+27632+12528+6812+832+1782+2257+1782+5477.5+2138.5+4669.5+970</f>
        <v>1572359.25</v>
      </c>
      <c r="J132" s="278">
        <f>34863+36137+32260+23896+12188+5940+2894+1417+1234+90+446+565+446+1293+535+1220+404</f>
        <v>155828</v>
      </c>
      <c r="K132" s="223">
        <v>40921</v>
      </c>
    </row>
    <row r="133" spans="1:11" ht="15.75">
      <c r="A133" s="328" t="s">
        <v>270</v>
      </c>
      <c r="B133" s="61" t="s">
        <v>283</v>
      </c>
      <c r="C133" s="226">
        <v>40095</v>
      </c>
      <c r="D133" s="64" t="s">
        <v>68</v>
      </c>
      <c r="E133" s="263">
        <v>52</v>
      </c>
      <c r="F133" s="264">
        <v>16</v>
      </c>
      <c r="G133" s="292">
        <v>952</v>
      </c>
      <c r="H133" s="293">
        <v>238</v>
      </c>
      <c r="I133" s="276">
        <f>108013.25+68864+27976+10214+2402+2209+1188+2968+1780+1780+2427.4+364.82+248.58+1780+1188+952</f>
        <v>234355.05</v>
      </c>
      <c r="J133" s="278">
        <f>12202+8144+4339+1841+481+460+297+742+445+445+599+87+57+445+297+238</f>
        <v>31119</v>
      </c>
      <c r="K133" s="316">
        <v>40907</v>
      </c>
    </row>
    <row r="134" spans="1:11" ht="15.75">
      <c r="A134" s="328" t="s">
        <v>625</v>
      </c>
      <c r="B134" s="61" t="s">
        <v>626</v>
      </c>
      <c r="C134" s="225">
        <v>40585</v>
      </c>
      <c r="D134" s="64" t="s">
        <v>68</v>
      </c>
      <c r="E134" s="272">
        <v>58</v>
      </c>
      <c r="F134" s="264">
        <v>36</v>
      </c>
      <c r="G134" s="292">
        <v>950.5</v>
      </c>
      <c r="H134" s="293">
        <v>190</v>
      </c>
      <c r="I134" s="276">
        <f>236018+209847.25+105622+138051.5+64189.5+34454+20202.5+27754+16946+8179.5+9672.5+8494+21812+25095+12109+8066+3824+4092+15394+226700+172575.5+127465+93972+96529+77366.5+63475.5+48505.5+31769.5+29482+10986+6164+59+1093.5+1386+279+950.5</f>
        <v>1958581.25</v>
      </c>
      <c r="J134" s="278">
        <f>25731+24506+13184+19079+9581+4996+3067+4392+3122+1175+1530+1410+3175+3587+1436+923+420+447+1629+25969+20073+15455+11876+13635+10490+9269+7265+5116+4049+1598+1517+8+257+323+37+190</f>
        <v>250517</v>
      </c>
      <c r="K134" s="271">
        <v>40935</v>
      </c>
    </row>
    <row r="135" spans="1:11" ht="15.75">
      <c r="A135" s="328" t="s">
        <v>625</v>
      </c>
      <c r="B135" s="61" t="s">
        <v>626</v>
      </c>
      <c r="C135" s="225">
        <v>40585</v>
      </c>
      <c r="D135" s="64" t="s">
        <v>68</v>
      </c>
      <c r="E135" s="272">
        <v>58</v>
      </c>
      <c r="F135" s="264">
        <v>37</v>
      </c>
      <c r="G135" s="292">
        <v>950.5</v>
      </c>
      <c r="H135" s="293">
        <v>190</v>
      </c>
      <c r="I135" s="276">
        <f>236018+209847.25+105622+138051.5+64189.5+34454+20202.5+27754+16946+8179.5+9672.5+8494+21812+25095+12109+8066+3824+4092+15394+226700+172575.5+127465+93972+96529+77366.5+63475.5+48505.5+31769.5+29482+10986+6164+59+1093.5+1386+279+950.5+950.5</f>
        <v>1959531.75</v>
      </c>
      <c r="J135" s="278">
        <f>25731+24506+13184+19079+9581+4996+3067+4392+3122+1175+1530+1410+3175+3587+1436+923+420+447+1629+25969+20073+15455+11876+13635+10490+9269+7265+5116+4049+1598+1517+8+257+323+37+190+190</f>
        <v>250707</v>
      </c>
      <c r="K135" s="223">
        <v>40942</v>
      </c>
    </row>
    <row r="136" spans="1:11" ht="15.75">
      <c r="A136" s="328" t="s">
        <v>656</v>
      </c>
      <c r="B136" s="63" t="s">
        <v>657</v>
      </c>
      <c r="C136" s="492">
        <v>40662</v>
      </c>
      <c r="D136" s="64" t="s">
        <v>68</v>
      </c>
      <c r="E136" s="263">
        <v>10</v>
      </c>
      <c r="F136" s="264">
        <v>17</v>
      </c>
      <c r="G136" s="499">
        <v>950.5</v>
      </c>
      <c r="H136" s="500">
        <v>190</v>
      </c>
      <c r="I136" s="497">
        <f>12563.75+2983.5+2680+354+641+412+470+299+1405.5+1335+741+1188+1188+2138.5+2851+594+430+950.5</f>
        <v>33224.75</v>
      </c>
      <c r="J136" s="498">
        <f>1693+350+279+68+81+51+66+35+228+169+92+297+297+535+715+149+188+190</f>
        <v>5483</v>
      </c>
      <c r="K136" s="223">
        <v>40949</v>
      </c>
    </row>
    <row r="137" spans="1:11" ht="15.75">
      <c r="A137" s="328" t="s">
        <v>398</v>
      </c>
      <c r="B137" s="63" t="s">
        <v>218</v>
      </c>
      <c r="C137" s="492">
        <v>40627</v>
      </c>
      <c r="D137" s="64" t="s">
        <v>68</v>
      </c>
      <c r="E137" s="263">
        <v>137</v>
      </c>
      <c r="F137" s="264">
        <v>25</v>
      </c>
      <c r="G137" s="499">
        <v>950</v>
      </c>
      <c r="H137" s="500">
        <v>190</v>
      </c>
      <c r="I137" s="497">
        <f>1066061.5+1061275+813239.75+606216+468367.5+266511+137274.5+89937.5+9478+4671.5+2215.5+593.5+2273.5+2234+1858+10514.5+2603+2122+2001+349+713+2613.5+475.5+3801.5+950</f>
        <v>4558349.75</v>
      </c>
      <c r="J137" s="498">
        <f>110278+106719+82858+62672+50883+32012+17904+13463+1427+637+352+91+261+268+240+2410+402+325+272+26+178+653+109+950+190</f>
        <v>485580</v>
      </c>
      <c r="K137" s="223">
        <v>40949</v>
      </c>
    </row>
    <row r="138" spans="1:11" ht="15.75">
      <c r="A138" s="330" t="s">
        <v>120</v>
      </c>
      <c r="B138" s="61" t="s">
        <v>122</v>
      </c>
      <c r="C138" s="225">
        <v>40886</v>
      </c>
      <c r="D138" s="64" t="s">
        <v>121</v>
      </c>
      <c r="E138" s="263">
        <v>82</v>
      </c>
      <c r="F138" s="277">
        <v>9</v>
      </c>
      <c r="G138" s="296">
        <v>942</v>
      </c>
      <c r="H138" s="297">
        <v>146</v>
      </c>
      <c r="I138" s="413">
        <v>647111.9</v>
      </c>
      <c r="J138" s="411">
        <v>74704</v>
      </c>
      <c r="K138" s="223">
        <v>40942</v>
      </c>
    </row>
    <row r="139" spans="1:11" ht="15.75">
      <c r="A139" s="328" t="s">
        <v>73</v>
      </c>
      <c r="B139" s="63" t="s">
        <v>87</v>
      </c>
      <c r="C139" s="225">
        <v>40858</v>
      </c>
      <c r="D139" s="64" t="s">
        <v>68</v>
      </c>
      <c r="E139" s="259">
        <v>32</v>
      </c>
      <c r="F139" s="311">
        <v>9</v>
      </c>
      <c r="G139" s="312">
        <v>937</v>
      </c>
      <c r="H139" s="313">
        <v>165</v>
      </c>
      <c r="I139" s="314">
        <f>119417+74006.5+30939.5+15734+17682+7740+3814.5+5519+937</f>
        <v>275789.5</v>
      </c>
      <c r="J139" s="315">
        <f>12383+8559+4204+1986+2778+1301+707+782+165</f>
        <v>32865</v>
      </c>
      <c r="K139" s="223">
        <v>40914</v>
      </c>
    </row>
    <row r="140" spans="1:11" ht="15.75">
      <c r="A140" s="335" t="s">
        <v>110</v>
      </c>
      <c r="B140" s="61" t="s">
        <v>113</v>
      </c>
      <c r="C140" s="492">
        <v>40879</v>
      </c>
      <c r="D140" s="64" t="s">
        <v>53</v>
      </c>
      <c r="E140" s="263">
        <v>135</v>
      </c>
      <c r="F140" s="281">
        <v>11</v>
      </c>
      <c r="G140" s="336">
        <v>838</v>
      </c>
      <c r="H140" s="337">
        <v>131</v>
      </c>
      <c r="I140" s="268">
        <f>1709882.25+1194489.75+708906.5+376327+70+197271.5+73341.5+70692.5+50480.5+9953.5+3058+838</f>
        <v>4395311</v>
      </c>
      <c r="J140" s="269">
        <f>195314+135261+80447+45395+10+25625+10302+10950+7727+1402+435+131</f>
        <v>512999</v>
      </c>
      <c r="K140" s="223">
        <v>40949</v>
      </c>
    </row>
    <row r="141" spans="1:11" ht="15.75">
      <c r="A141" s="335" t="s">
        <v>71</v>
      </c>
      <c r="B141" s="61" t="s">
        <v>82</v>
      </c>
      <c r="C141" s="226">
        <v>40858</v>
      </c>
      <c r="D141" s="64" t="s">
        <v>53</v>
      </c>
      <c r="E141" s="263">
        <v>130</v>
      </c>
      <c r="F141" s="281">
        <v>12</v>
      </c>
      <c r="G141" s="288">
        <v>772</v>
      </c>
      <c r="H141" s="289">
        <v>67</v>
      </c>
      <c r="I141" s="266">
        <f>665902+436506+215139.5+18371+13790+6539+18719+8754+1085+753+5914+772</f>
        <v>1392244.5</v>
      </c>
      <c r="J141" s="267">
        <f>66262+44749+24699+2311+1764+1135+3015+1547+179+111+595+67</f>
        <v>146434</v>
      </c>
      <c r="K141" s="271">
        <v>40935</v>
      </c>
    </row>
    <row r="142" spans="1:11" ht="15.75">
      <c r="A142" s="321" t="s">
        <v>74</v>
      </c>
      <c r="B142" s="67" t="s">
        <v>80</v>
      </c>
      <c r="C142" s="225">
        <v>40851</v>
      </c>
      <c r="D142" s="64" t="s">
        <v>53</v>
      </c>
      <c r="E142" s="272">
        <v>247</v>
      </c>
      <c r="F142" s="281">
        <v>11</v>
      </c>
      <c r="G142" s="288">
        <v>754</v>
      </c>
      <c r="H142" s="289">
        <v>104</v>
      </c>
      <c r="I142" s="282">
        <f>2260223+2366876.75+3859638+3137342+1906742.5+252.25+1189485.5+474275+250512+184428+13126+754</f>
        <v>15643655</v>
      </c>
      <c r="J142" s="283">
        <f>286038+329194+554088+452220+278080+42+178270+68355+40409+33224+1975+104</f>
        <v>2221999</v>
      </c>
      <c r="K142" s="223">
        <v>40921</v>
      </c>
    </row>
    <row r="143" spans="1:11" ht="15.75">
      <c r="A143" s="335" t="s">
        <v>71</v>
      </c>
      <c r="B143" s="61" t="s">
        <v>82</v>
      </c>
      <c r="C143" s="226">
        <v>40858</v>
      </c>
      <c r="D143" s="64" t="s">
        <v>53</v>
      </c>
      <c r="E143" s="263">
        <v>130</v>
      </c>
      <c r="F143" s="281">
        <v>1</v>
      </c>
      <c r="G143" s="288">
        <v>753</v>
      </c>
      <c r="H143" s="289">
        <v>111</v>
      </c>
      <c r="I143" s="282">
        <f>665902+436506+215139.5+18371+13790+6539+18719+8754+1085+753</f>
        <v>1385558.5</v>
      </c>
      <c r="J143" s="283">
        <f>66262+44749+24699+2311+1764+1135+3015+1547+179+111</f>
        <v>145772</v>
      </c>
      <c r="K143" s="223">
        <v>40921</v>
      </c>
    </row>
    <row r="144" spans="1:11" ht="15.75">
      <c r="A144" s="328" t="s">
        <v>73</v>
      </c>
      <c r="B144" s="63" t="s">
        <v>87</v>
      </c>
      <c r="C144" s="225">
        <v>40858</v>
      </c>
      <c r="D144" s="64" t="s">
        <v>68</v>
      </c>
      <c r="E144" s="263">
        <v>32</v>
      </c>
      <c r="F144" s="264">
        <v>10</v>
      </c>
      <c r="G144" s="292">
        <v>732</v>
      </c>
      <c r="H144" s="293">
        <v>115</v>
      </c>
      <c r="I144" s="276">
        <f>119417+74006.5+30939.5+15734+17682+7740+3814.5+5519+937+732</f>
        <v>276521.5</v>
      </c>
      <c r="J144" s="278">
        <f>12383+8559+4204+1986+2778+1301+707+782+165+115</f>
        <v>32980</v>
      </c>
      <c r="K144" s="223">
        <v>40921</v>
      </c>
    </row>
    <row r="145" spans="1:11" ht="15.75">
      <c r="A145" s="328" t="s">
        <v>73</v>
      </c>
      <c r="B145" s="63" t="s">
        <v>87</v>
      </c>
      <c r="C145" s="492">
        <v>40858</v>
      </c>
      <c r="D145" s="64" t="s">
        <v>68</v>
      </c>
      <c r="E145" s="263">
        <v>32</v>
      </c>
      <c r="F145" s="264">
        <v>13</v>
      </c>
      <c r="G145" s="499">
        <v>713</v>
      </c>
      <c r="H145" s="500">
        <v>143</v>
      </c>
      <c r="I145" s="497">
        <f>119417+74006.5+30939.5+15734+17682+7740+3814.5+5519+937+732+479+1782+1188+713</f>
        <v>280683.5</v>
      </c>
      <c r="J145" s="498">
        <f>12383+8559+4204+1986+2778+1301+707+782+165+115+82+325+238+143</f>
        <v>33768</v>
      </c>
      <c r="K145" s="223">
        <v>40949</v>
      </c>
    </row>
    <row r="146" spans="1:11" ht="15.75">
      <c r="A146" s="328" t="s">
        <v>698</v>
      </c>
      <c r="B146" s="63" t="s">
        <v>704</v>
      </c>
      <c r="C146" s="492">
        <v>40620</v>
      </c>
      <c r="D146" s="64" t="s">
        <v>68</v>
      </c>
      <c r="E146" s="263">
        <v>18</v>
      </c>
      <c r="F146" s="494">
        <v>13</v>
      </c>
      <c r="G146" s="499">
        <v>713</v>
      </c>
      <c r="H146" s="500">
        <v>143</v>
      </c>
      <c r="I146" s="497">
        <f>39453.5+44225+30459.5+23462+13989+8982.5+6844+2370+4120+2588+1886+275+713</f>
        <v>179367.5</v>
      </c>
      <c r="J146" s="498">
        <f>5345+6302+4080+3427+1964+1106+1298+366+730+571+456+44+143</f>
        <v>25832</v>
      </c>
      <c r="K146" s="223">
        <v>40949</v>
      </c>
    </row>
    <row r="147" spans="1:11" ht="15.75">
      <c r="A147" s="328" t="s">
        <v>356</v>
      </c>
      <c r="B147" s="63" t="s">
        <v>366</v>
      </c>
      <c r="C147" s="492">
        <v>40795</v>
      </c>
      <c r="D147" s="64" t="s">
        <v>68</v>
      </c>
      <c r="E147" s="263">
        <v>3</v>
      </c>
      <c r="F147" s="264">
        <v>8</v>
      </c>
      <c r="G147" s="499">
        <v>713</v>
      </c>
      <c r="H147" s="500">
        <v>143</v>
      </c>
      <c r="I147" s="497">
        <f>4125+2511+398+1048+854+482+594+1782+713</f>
        <v>12507</v>
      </c>
      <c r="J147" s="498">
        <f>422+287+52+100+134+61+149+446+143</f>
        <v>1794</v>
      </c>
      <c r="K147" s="223">
        <v>40949</v>
      </c>
    </row>
    <row r="148" spans="1:11" ht="15.75">
      <c r="A148" s="321" t="s">
        <v>77</v>
      </c>
      <c r="B148" s="64" t="s">
        <v>188</v>
      </c>
      <c r="C148" s="225">
        <v>40865</v>
      </c>
      <c r="D148" s="64" t="s">
        <v>52</v>
      </c>
      <c r="E148" s="284">
        <v>64</v>
      </c>
      <c r="F148" s="277">
        <v>10</v>
      </c>
      <c r="G148" s="371">
        <v>659</v>
      </c>
      <c r="H148" s="372">
        <v>92</v>
      </c>
      <c r="I148" s="366">
        <f>256046+137037.5+20115+5099+3542+3484.5+1302+1985+195+659</f>
        <v>429465</v>
      </c>
      <c r="J148" s="267">
        <f>25390+13650+2140+705+587+707+246+352+31+92</f>
        <v>43900</v>
      </c>
      <c r="K148" s="223">
        <v>40928</v>
      </c>
    </row>
    <row r="149" spans="1:11" ht="15.75">
      <c r="A149" s="330" t="s">
        <v>649</v>
      </c>
      <c r="B149" s="64" t="s">
        <v>650</v>
      </c>
      <c r="C149" s="226">
        <v>40900</v>
      </c>
      <c r="D149" s="64" t="s">
        <v>539</v>
      </c>
      <c r="E149" s="263">
        <v>1</v>
      </c>
      <c r="F149" s="264">
        <v>3</v>
      </c>
      <c r="G149" s="288">
        <v>633</v>
      </c>
      <c r="H149" s="289">
        <v>211</v>
      </c>
      <c r="I149" s="266">
        <v>4823</v>
      </c>
      <c r="J149" s="267">
        <v>630</v>
      </c>
      <c r="K149" s="223">
        <v>40942</v>
      </c>
    </row>
    <row r="150" spans="1:11" ht="15.75">
      <c r="A150" s="422" t="s">
        <v>237</v>
      </c>
      <c r="B150" s="64" t="s">
        <v>238</v>
      </c>
      <c r="C150" s="225">
        <v>40613</v>
      </c>
      <c r="D150" s="64" t="s">
        <v>13</v>
      </c>
      <c r="E150" s="263">
        <v>25</v>
      </c>
      <c r="F150" s="264">
        <v>19</v>
      </c>
      <c r="G150" s="420">
        <v>605</v>
      </c>
      <c r="H150" s="421">
        <v>121</v>
      </c>
      <c r="I150" s="414">
        <v>212148.5</v>
      </c>
      <c r="J150" s="415">
        <v>28587</v>
      </c>
      <c r="K150" s="271">
        <v>40935</v>
      </c>
    </row>
    <row r="151" spans="1:11" ht="15.75">
      <c r="A151" s="306" t="s">
        <v>237</v>
      </c>
      <c r="B151" s="64" t="s">
        <v>238</v>
      </c>
      <c r="C151" s="225">
        <v>40613</v>
      </c>
      <c r="D151" s="64" t="s">
        <v>13</v>
      </c>
      <c r="E151" s="329">
        <v>25</v>
      </c>
      <c r="F151" s="264">
        <v>19</v>
      </c>
      <c r="G151" s="288">
        <v>594</v>
      </c>
      <c r="H151" s="289">
        <v>118</v>
      </c>
      <c r="I151" s="266">
        <v>211543.5</v>
      </c>
      <c r="J151" s="267">
        <v>28466</v>
      </c>
      <c r="K151" s="316">
        <v>40907</v>
      </c>
    </row>
    <row r="152" spans="1:11" ht="15.75">
      <c r="A152" s="305" t="s">
        <v>66</v>
      </c>
      <c r="B152" s="66" t="s">
        <v>81</v>
      </c>
      <c r="C152" s="225">
        <v>40844</v>
      </c>
      <c r="D152" s="64" t="s">
        <v>53</v>
      </c>
      <c r="E152" s="262">
        <v>245</v>
      </c>
      <c r="F152" s="324">
        <v>11</v>
      </c>
      <c r="G152" s="325">
        <v>573</v>
      </c>
      <c r="H152" s="318">
        <v>94</v>
      </c>
      <c r="I152" s="326">
        <f>2095427.5+1865707+650031+295029.5+57559.5+69427+8354+22014.5+2923+1680+573</f>
        <v>5068726</v>
      </c>
      <c r="J152" s="320">
        <f>212522+189875+68849+32548+6112+10910+1695+4739+564+262+94</f>
        <v>528170</v>
      </c>
      <c r="K152" s="223">
        <v>40914</v>
      </c>
    </row>
    <row r="153" spans="1:11" ht="15.75">
      <c r="A153" s="335" t="s">
        <v>106</v>
      </c>
      <c r="B153" s="61" t="s">
        <v>114</v>
      </c>
      <c r="C153" s="225">
        <v>40879</v>
      </c>
      <c r="D153" s="64" t="s">
        <v>8</v>
      </c>
      <c r="E153" s="263">
        <v>39</v>
      </c>
      <c r="F153" s="273">
        <v>9</v>
      </c>
      <c r="G153" s="290">
        <v>520</v>
      </c>
      <c r="H153" s="291">
        <v>88</v>
      </c>
      <c r="I153" s="413">
        <v>224035</v>
      </c>
      <c r="J153" s="411">
        <v>25373</v>
      </c>
      <c r="K153" s="271">
        <v>40935</v>
      </c>
    </row>
    <row r="154" spans="1:11" ht="15.75">
      <c r="A154" s="328" t="s">
        <v>73</v>
      </c>
      <c r="B154" s="63" t="s">
        <v>87</v>
      </c>
      <c r="C154" s="225">
        <v>40858</v>
      </c>
      <c r="D154" s="64" t="s">
        <v>68</v>
      </c>
      <c r="E154" s="263">
        <v>32</v>
      </c>
      <c r="F154" s="264">
        <v>10</v>
      </c>
      <c r="G154" s="292">
        <v>479</v>
      </c>
      <c r="H154" s="293">
        <v>82</v>
      </c>
      <c r="I154" s="276">
        <f>119417+74006.5+30939.5+15734+17682+7740+3814.5+5519+937+732+479</f>
        <v>277000.5</v>
      </c>
      <c r="J154" s="278">
        <f>12383+8559+4204+1986+2778+1301+707+782+165+115+82</f>
        <v>33062</v>
      </c>
      <c r="K154" s="223">
        <v>40928</v>
      </c>
    </row>
    <row r="155" spans="1:11" ht="15.75">
      <c r="A155" s="330" t="s">
        <v>120</v>
      </c>
      <c r="B155" s="61" t="s">
        <v>122</v>
      </c>
      <c r="C155" s="225">
        <v>40886</v>
      </c>
      <c r="D155" s="64" t="s">
        <v>121</v>
      </c>
      <c r="E155" s="263">
        <v>82</v>
      </c>
      <c r="F155" s="277">
        <v>8</v>
      </c>
      <c r="G155" s="296">
        <v>470</v>
      </c>
      <c r="H155" s="297">
        <v>69</v>
      </c>
      <c r="I155" s="285">
        <v>646169.9</v>
      </c>
      <c r="J155" s="286">
        <v>74558</v>
      </c>
      <c r="K155" s="271">
        <v>40935</v>
      </c>
    </row>
    <row r="156" spans="1:11" ht="15.75">
      <c r="A156" s="328" t="s">
        <v>656</v>
      </c>
      <c r="B156" s="63" t="s">
        <v>657</v>
      </c>
      <c r="C156" s="225">
        <v>40662</v>
      </c>
      <c r="D156" s="64" t="s">
        <v>68</v>
      </c>
      <c r="E156" s="263">
        <v>10</v>
      </c>
      <c r="F156" s="264">
        <v>17</v>
      </c>
      <c r="G156" s="292">
        <v>430</v>
      </c>
      <c r="H156" s="293">
        <v>188</v>
      </c>
      <c r="I156" s="276">
        <f>12563.75+2983.5+2680+354+641+412+470+299+1405.5+1335+741+1188+1188+2138.5+2851+594+430</f>
        <v>32274.25</v>
      </c>
      <c r="J156" s="278">
        <f>1693+350+279+68+81+51+66+35+228+169+92+297+297+535+715+149+188</f>
        <v>5293</v>
      </c>
      <c r="K156" s="223">
        <v>40942</v>
      </c>
    </row>
    <row r="157" spans="1:11" ht="15.75">
      <c r="A157" s="335" t="s">
        <v>106</v>
      </c>
      <c r="B157" s="61" t="s">
        <v>114</v>
      </c>
      <c r="C157" s="225">
        <v>40879</v>
      </c>
      <c r="D157" s="64" t="s">
        <v>8</v>
      </c>
      <c r="E157" s="263">
        <v>39</v>
      </c>
      <c r="F157" s="273">
        <v>10</v>
      </c>
      <c r="G157" s="292">
        <v>378</v>
      </c>
      <c r="H157" s="293">
        <v>67</v>
      </c>
      <c r="I157" s="276">
        <v>224413</v>
      </c>
      <c r="J157" s="278">
        <v>25440</v>
      </c>
      <c r="K157" s="223">
        <v>40942</v>
      </c>
    </row>
    <row r="158" spans="1:11" ht="15.75">
      <c r="A158" s="335" t="s">
        <v>106</v>
      </c>
      <c r="B158" s="61" t="s">
        <v>114</v>
      </c>
      <c r="C158" s="492">
        <v>40879</v>
      </c>
      <c r="D158" s="64" t="s">
        <v>8</v>
      </c>
      <c r="E158" s="263">
        <v>39</v>
      </c>
      <c r="F158" s="273">
        <v>11</v>
      </c>
      <c r="G158" s="499">
        <v>300</v>
      </c>
      <c r="H158" s="500">
        <v>53</v>
      </c>
      <c r="I158" s="497">
        <v>224713</v>
      </c>
      <c r="J158" s="498">
        <v>25493</v>
      </c>
      <c r="K158" s="223">
        <v>40949</v>
      </c>
    </row>
    <row r="159" spans="1:11" ht="15.75">
      <c r="A159" s="328" t="s">
        <v>115</v>
      </c>
      <c r="B159" s="61" t="s">
        <v>116</v>
      </c>
      <c r="C159" s="225">
        <v>40886</v>
      </c>
      <c r="D159" s="64" t="s">
        <v>12</v>
      </c>
      <c r="E159" s="263">
        <v>161</v>
      </c>
      <c r="F159" s="264">
        <v>8</v>
      </c>
      <c r="G159" s="288">
        <v>198</v>
      </c>
      <c r="H159" s="289">
        <v>27</v>
      </c>
      <c r="I159" s="266">
        <v>879817</v>
      </c>
      <c r="J159" s="267">
        <v>107311</v>
      </c>
      <c r="K159" s="271">
        <v>40935</v>
      </c>
    </row>
    <row r="160" spans="1:11" ht="15.75">
      <c r="A160" s="321" t="s">
        <v>77</v>
      </c>
      <c r="B160" s="64" t="s">
        <v>188</v>
      </c>
      <c r="C160" s="225">
        <v>40865</v>
      </c>
      <c r="D160" s="64" t="s">
        <v>52</v>
      </c>
      <c r="E160" s="284">
        <v>64</v>
      </c>
      <c r="F160" s="277">
        <v>9</v>
      </c>
      <c r="G160" s="294">
        <v>195</v>
      </c>
      <c r="H160" s="295">
        <v>31</v>
      </c>
      <c r="I160" s="279">
        <f>256046+137037.5+20115+5099+3542+3484.5+1302+1985+195</f>
        <v>428806</v>
      </c>
      <c r="J160" s="267">
        <f>25390+13650+2140+705+587+707+246+352+31</f>
        <v>43808</v>
      </c>
      <c r="K160" s="223">
        <v>40921</v>
      </c>
    </row>
    <row r="161" spans="1:11" ht="15.75">
      <c r="A161" s="321" t="s">
        <v>74</v>
      </c>
      <c r="B161" s="67" t="s">
        <v>80</v>
      </c>
      <c r="C161" s="225">
        <v>40851</v>
      </c>
      <c r="D161" s="64" t="s">
        <v>53</v>
      </c>
      <c r="E161" s="272">
        <v>247</v>
      </c>
      <c r="F161" s="281">
        <v>13</v>
      </c>
      <c r="G161" s="288">
        <v>188</v>
      </c>
      <c r="H161" s="289">
        <v>22</v>
      </c>
      <c r="I161" s="266">
        <f>2260223+2366876.75+3859638+3137342+1906742.5+252.25+1189485.5+474275+250512+184428+13126+754+5006+188</f>
        <v>15648849</v>
      </c>
      <c r="J161" s="267">
        <f>286038+329194+554088+452220+278080+42+178270+68355+40409+33224+1975+104+988+22</f>
        <v>2223009</v>
      </c>
      <c r="K161" s="271">
        <v>40935</v>
      </c>
    </row>
    <row r="162" spans="1:11" ht="15.75">
      <c r="A162" s="305" t="s">
        <v>337</v>
      </c>
      <c r="B162" s="66" t="s">
        <v>339</v>
      </c>
      <c r="C162" s="225">
        <v>40914</v>
      </c>
      <c r="D162" s="64" t="s">
        <v>53</v>
      </c>
      <c r="E162" s="280">
        <v>97</v>
      </c>
      <c r="F162" s="281">
        <v>7</v>
      </c>
      <c r="G162" s="322">
        <v>114</v>
      </c>
      <c r="H162" s="323">
        <v>19</v>
      </c>
      <c r="I162" s="282">
        <f>216520+198358.5+149589.5+18051.79+5443+2220+114</f>
        <v>590296.79</v>
      </c>
      <c r="J162" s="283">
        <f>26831+25025+19383+2440+733+337+19</f>
        <v>74768</v>
      </c>
      <c r="K162" s="223">
        <v>40956</v>
      </c>
    </row>
    <row r="163" spans="1:11" ht="15.75">
      <c r="A163" s="328" t="s">
        <v>73</v>
      </c>
      <c r="B163" s="63" t="s">
        <v>87</v>
      </c>
      <c r="C163" s="225">
        <v>40858</v>
      </c>
      <c r="D163" s="64" t="s">
        <v>68</v>
      </c>
      <c r="E163" s="263">
        <v>32</v>
      </c>
      <c r="F163" s="264">
        <v>15</v>
      </c>
      <c r="G163" s="292">
        <v>96</v>
      </c>
      <c r="H163" s="293">
        <v>32</v>
      </c>
      <c r="I163" s="276">
        <f>119417+74006.5+30939.5+15734+17682+7740+3814.5+5519+937+732+479+1782+1188+713+96</f>
        <v>280779.5</v>
      </c>
      <c r="J163" s="278">
        <f>12383+8559+4204+1986+2778+1301+707+782+165+115+82+325+238+143+32</f>
        <v>33800</v>
      </c>
      <c r="K163" s="223">
        <v>40956</v>
      </c>
    </row>
    <row r="164" spans="1:11" ht="15.75">
      <c r="A164" s="335" t="s">
        <v>110</v>
      </c>
      <c r="B164" s="61" t="s">
        <v>113</v>
      </c>
      <c r="C164" s="225">
        <v>40879</v>
      </c>
      <c r="D164" s="64" t="s">
        <v>53</v>
      </c>
      <c r="E164" s="263">
        <v>135</v>
      </c>
      <c r="F164" s="281">
        <v>12</v>
      </c>
      <c r="G164" s="322">
        <v>28</v>
      </c>
      <c r="H164" s="323">
        <v>4</v>
      </c>
      <c r="I164" s="282">
        <f>1709882.25+1194489.75+708906.5+376327+70+197271.5+73341.5+70692.5+50480.5+9953.5+3058+838+28</f>
        <v>4395339</v>
      </c>
      <c r="J164" s="283">
        <f>195314+135261+80447+45395+10+25625+10302+10950+7727+1402+435+131+4</f>
        <v>513003</v>
      </c>
      <c r="K164" s="223">
        <v>40956</v>
      </c>
    </row>
  </sheetData>
  <sheetProtection/>
  <mergeCells count="1">
    <mergeCell ref="A1:K1"/>
  </mergeCells>
  <printOptions/>
  <pageMargins left="0.7" right="0.7" top="0.75" bottom="0.75" header="0.3" footer="0.3"/>
  <pageSetup horizontalDpi="600" verticalDpi="600" orientation="portrait" paperSize="9" r:id="rId1"/>
  <ignoredErrors>
    <ignoredError sqref="I17:J35 I36:J56 I4:J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2011-05-24T12:35:07Z</cp:lastPrinted>
  <dcterms:created xsi:type="dcterms:W3CDTF">2006-03-15T09:07:04Z</dcterms:created>
  <dcterms:modified xsi:type="dcterms:W3CDTF">2012-02-28T05:03:01Z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