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35"/>
  </bookViews>
  <sheets>
    <sheet name="2014_34_22-28.08" sheetId="28" r:id="rId1"/>
    <sheet name="2014_33_15-21.08" sheetId="27" r:id="rId2"/>
    <sheet name="2014_32_08-14.08" sheetId="26" r:id="rId3"/>
    <sheet name="2014_31_01-07.08" sheetId="25" r:id="rId4"/>
    <sheet name="2014_30_25-31.07" sheetId="24" r:id="rId5"/>
    <sheet name="2014_29_18-24.07" sheetId="23" r:id="rId6"/>
    <sheet name="2014_28_11-17.07" sheetId="22" r:id="rId7"/>
    <sheet name="2014_27_04-10.07" sheetId="21" r:id="rId8"/>
    <sheet name="2014_26_27.06-03.07" sheetId="20" r:id="rId9"/>
    <sheet name="2014_25_20-26.06" sheetId="19" r:id="rId10"/>
    <sheet name="2014_24_13-19.06" sheetId="18" r:id="rId11"/>
    <sheet name="2014_23_06-12.06" sheetId="17" r:id="rId12"/>
    <sheet name="2014_22_30.05-05.06" sheetId="16" r:id="rId13"/>
    <sheet name="2014_21_23-29.05" sheetId="15" r:id="rId14"/>
    <sheet name="2014_20_16-22.05" sheetId="14" r:id="rId15"/>
    <sheet name="2014_19_09-15.05" sheetId="13" r:id="rId16"/>
    <sheet name="2014_18_02-08.05" sheetId="12" r:id="rId17"/>
    <sheet name="2014_17_25.04-01.05" sheetId="11" r:id="rId18"/>
    <sheet name="2014_16_18-24.04" sheetId="10" r:id="rId19"/>
    <sheet name="2014_15_11-17.04" sheetId="8" r:id="rId20"/>
    <sheet name="2014_14_04-10.04" sheetId="9" r:id="rId21"/>
    <sheet name="2014_13_28.03-03.04" sheetId="7" r:id="rId22"/>
    <sheet name="2014_12_21-27.03" sheetId="6" r:id="rId23"/>
    <sheet name="2014_11_14-20.03" sheetId="5" r:id="rId24"/>
    <sheet name="2014_10_07-13.03" sheetId="4" r:id="rId25"/>
    <sheet name="2014_9_28.02-06.03" sheetId="3" r:id="rId26"/>
    <sheet name="2014_8_21-27.02" sheetId="2" r:id="rId27"/>
    <sheet name="2014_7_14-20.02" sheetId="1" r:id="rId28"/>
  </sheets>
  <calcPr calcId="145621"/>
</workbook>
</file>

<file path=xl/calcChain.xml><?xml version="1.0" encoding="utf-8"?>
<calcChain xmlns="http://schemas.openxmlformats.org/spreadsheetml/2006/main">
  <c r="B7" i="28" l="1"/>
  <c r="B8" i="28" s="1"/>
  <c r="B9" i="28" s="1"/>
  <c r="B10" i="28" s="1"/>
  <c r="B11" i="28" s="1"/>
  <c r="B12" i="28" s="1"/>
  <c r="B13" i="28" s="1"/>
  <c r="B14" i="28" s="1"/>
  <c r="B15" i="28" s="1"/>
  <c r="B16" i="28" s="1"/>
  <c r="B17" i="28" s="1"/>
  <c r="B18" i="28" s="1"/>
  <c r="B19" i="28" s="1"/>
  <c r="B6" i="28"/>
  <c r="O8" i="28"/>
  <c r="N8" i="28"/>
  <c r="O15" i="28"/>
  <c r="N15" i="28"/>
  <c r="O13" i="28" l="1"/>
  <c r="N13" i="28"/>
  <c r="O10" i="28"/>
  <c r="N10" i="28"/>
  <c r="O11" i="28"/>
  <c r="N11" i="28"/>
  <c r="O19" i="28"/>
  <c r="N19" i="28"/>
  <c r="O12" i="28"/>
  <c r="N12" i="28"/>
  <c r="O17" i="28"/>
  <c r="N17" i="28"/>
  <c r="O18" i="28"/>
  <c r="N18" i="28"/>
  <c r="O7" i="28"/>
  <c r="N7" i="28"/>
  <c r="O16" i="28"/>
  <c r="N16" i="28"/>
  <c r="O14" i="28"/>
  <c r="N14" i="28"/>
  <c r="O6" i="28"/>
  <c r="N6" i="28"/>
  <c r="O9" i="28"/>
  <c r="N9" i="28"/>
  <c r="P7" i="28" l="1"/>
  <c r="M7" i="28"/>
  <c r="L7" i="28"/>
  <c r="P18" i="28"/>
  <c r="M18" i="28"/>
  <c r="L18" i="28"/>
  <c r="P19" i="28"/>
  <c r="M19" i="28"/>
  <c r="L19" i="28"/>
  <c r="M17" i="28"/>
  <c r="L17" i="28"/>
  <c r="M15" i="28"/>
  <c r="L15" i="28"/>
  <c r="P16" i="28"/>
  <c r="M16" i="28"/>
  <c r="L16" i="28"/>
  <c r="M11" i="28"/>
  <c r="L11" i="28"/>
  <c r="P12" i="28"/>
  <c r="M12" i="28"/>
  <c r="L12" i="28"/>
  <c r="P10" i="28"/>
  <c r="M10" i="28"/>
  <c r="L10" i="28"/>
  <c r="P13" i="28"/>
  <c r="M13" i="28"/>
  <c r="L13" i="28"/>
  <c r="P14" i="28"/>
  <c r="M14" i="28"/>
  <c r="L14" i="28"/>
  <c r="M9" i="28"/>
  <c r="L9" i="28"/>
  <c r="M8" i="28"/>
  <c r="L8" i="28"/>
  <c r="M6" i="28"/>
  <c r="L6" i="28"/>
  <c r="P6" i="28" l="1"/>
  <c r="P9" i="28"/>
  <c r="P17" i="28"/>
  <c r="P8" i="28"/>
  <c r="P15" i="28"/>
  <c r="P11" i="28"/>
  <c r="O18" i="27"/>
  <c r="N18" i="27"/>
  <c r="P18" i="27" s="1"/>
  <c r="M18" i="27"/>
  <c r="L18" i="27"/>
  <c r="O17" i="27"/>
  <c r="N17" i="27"/>
  <c r="P17" i="27" s="1"/>
  <c r="M17" i="27"/>
  <c r="L17" i="27"/>
  <c r="O16" i="27"/>
  <c r="N16" i="27"/>
  <c r="P16" i="27" s="1"/>
  <c r="M16" i="27"/>
  <c r="L16" i="27"/>
  <c r="P15" i="27"/>
  <c r="O15" i="27"/>
  <c r="N15" i="27"/>
  <c r="M15" i="27"/>
  <c r="L15" i="27"/>
  <c r="O14" i="27"/>
  <c r="N14" i="27"/>
  <c r="P14" i="27" s="1"/>
  <c r="M14" i="27"/>
  <c r="L14" i="27"/>
  <c r="O13" i="27"/>
  <c r="N13" i="27"/>
  <c r="P13" i="27" s="1"/>
  <c r="M13" i="27"/>
  <c r="L13" i="27"/>
  <c r="O12" i="27"/>
  <c r="N12" i="27"/>
  <c r="P12" i="27" s="1"/>
  <c r="M12" i="27"/>
  <c r="L12" i="27"/>
  <c r="P11" i="27"/>
  <c r="O11" i="27"/>
  <c r="N11" i="27"/>
  <c r="M11" i="27"/>
  <c r="L11" i="27"/>
  <c r="O10" i="27"/>
  <c r="N10" i="27"/>
  <c r="P10" i="27" s="1"/>
  <c r="M10" i="27"/>
  <c r="L10" i="27"/>
  <c r="O9" i="27"/>
  <c r="N9" i="27"/>
  <c r="P9" i="27" s="1"/>
  <c r="M9" i="27"/>
  <c r="L9" i="27"/>
  <c r="O8" i="27"/>
  <c r="N8" i="27"/>
  <c r="P8" i="27" s="1"/>
  <c r="M8" i="27"/>
  <c r="L8" i="27"/>
  <c r="P7" i="27"/>
  <c r="O7" i="27"/>
  <c r="N7" i="27"/>
  <c r="M7" i="27"/>
  <c r="L7" i="27"/>
  <c r="O6" i="27"/>
  <c r="N6" i="27"/>
  <c r="P6" i="27" s="1"/>
  <c r="M6" i="27"/>
  <c r="L6" i="27"/>
  <c r="B7" i="27"/>
  <c r="B8" i="27" s="1"/>
  <c r="B9" i="27" s="1"/>
  <c r="B10" i="27" s="1"/>
  <c r="B11" i="27" s="1"/>
  <c r="B12" i="27" s="1"/>
  <c r="B13" i="27" s="1"/>
  <c r="B14" i="27" s="1"/>
  <c r="B15" i="27" s="1"/>
  <c r="B16" i="27" s="1"/>
  <c r="B17" i="27" s="1"/>
  <c r="B18" i="27" s="1"/>
  <c r="B6" i="27" l="1"/>
  <c r="O6" i="26" l="1"/>
  <c r="N6" i="26"/>
  <c r="O11" i="26"/>
  <c r="N11" i="26"/>
  <c r="N18" i="26" l="1"/>
  <c r="O18" i="26"/>
  <c r="P18" i="26"/>
  <c r="M18" i="26"/>
  <c r="L18" i="26"/>
  <c r="N17" i="26"/>
  <c r="O17" i="26"/>
  <c r="P17" i="26"/>
  <c r="M17" i="26"/>
  <c r="L17" i="26"/>
  <c r="N16" i="26"/>
  <c r="P16" i="26" s="1"/>
  <c r="O16" i="26"/>
  <c r="M16" i="26"/>
  <c r="L16" i="26"/>
  <c r="N15" i="26"/>
  <c r="P15" i="26" s="1"/>
  <c r="O15" i="26"/>
  <c r="M15" i="26"/>
  <c r="L15" i="26"/>
  <c r="N14" i="26"/>
  <c r="O14" i="26"/>
  <c r="P14" i="26"/>
  <c r="M14" i="26"/>
  <c r="L14" i="26"/>
  <c r="N13" i="26"/>
  <c r="O13" i="26"/>
  <c r="P13" i="26"/>
  <c r="M13" i="26"/>
  <c r="L13" i="26"/>
  <c r="N12" i="26"/>
  <c r="P12" i="26" s="1"/>
  <c r="O12" i="26"/>
  <c r="M12" i="26"/>
  <c r="L12" i="26"/>
  <c r="P11" i="26"/>
  <c r="M11" i="26"/>
  <c r="L11" i="26"/>
  <c r="N10" i="26"/>
  <c r="P10" i="26" s="1"/>
  <c r="O10" i="26"/>
  <c r="M10" i="26"/>
  <c r="L10" i="26"/>
  <c r="N9" i="26"/>
  <c r="P9" i="26" s="1"/>
  <c r="O9" i="26"/>
  <c r="M9" i="26"/>
  <c r="L9" i="26"/>
  <c r="N8" i="26"/>
  <c r="O8" i="26"/>
  <c r="P8" i="26"/>
  <c r="M8" i="26"/>
  <c r="L8" i="26"/>
  <c r="N7" i="26"/>
  <c r="O7" i="26"/>
  <c r="P7" i="26"/>
  <c r="M7" i="26"/>
  <c r="L7" i="26"/>
  <c r="P6" i="26"/>
  <c r="M6" i="26"/>
  <c r="L6" i="26"/>
  <c r="B6" i="26"/>
  <c r="B7" i="26"/>
  <c r="B8" i="26" s="1"/>
  <c r="B9" i="26" s="1"/>
  <c r="B10" i="26" s="1"/>
  <c r="B11" i="26" s="1"/>
  <c r="B12" i="26" s="1"/>
  <c r="B13" i="26" s="1"/>
  <c r="B14" i="26" s="1"/>
  <c r="B15" i="26" s="1"/>
  <c r="B16" i="26" s="1"/>
  <c r="B17" i="26" s="1"/>
  <c r="B18" i="26" s="1"/>
  <c r="B6" i="25"/>
  <c r="B7" i="25"/>
  <c r="B8" i="25" s="1"/>
  <c r="B9" i="25" s="1"/>
  <c r="B10" i="25" s="1"/>
  <c r="B11" i="25" s="1"/>
  <c r="B12" i="25" s="1"/>
  <c r="B13" i="25" s="1"/>
  <c r="B14" i="25" s="1"/>
  <c r="B15" i="25" s="1"/>
  <c r="B16" i="25" s="1"/>
  <c r="B17" i="25" s="1"/>
  <c r="B18" i="25" s="1"/>
  <c r="B19" i="25" s="1"/>
  <c r="O15" i="25"/>
  <c r="N15" i="25"/>
  <c r="O16" i="25"/>
  <c r="N16" i="25"/>
  <c r="P16" i="25" s="1"/>
  <c r="O12" i="25"/>
  <c r="N12" i="25"/>
  <c r="O19" i="25"/>
  <c r="N19" i="25"/>
  <c r="O18" i="25"/>
  <c r="N18" i="25"/>
  <c r="O11" i="25"/>
  <c r="N11" i="25"/>
  <c r="P11" i="25" s="1"/>
  <c r="O17" i="25"/>
  <c r="N17" i="25"/>
  <c r="O14" i="25"/>
  <c r="N14" i="25"/>
  <c r="P14" i="25" s="1"/>
  <c r="M14" i="25"/>
  <c r="L14" i="25"/>
  <c r="O13" i="25"/>
  <c r="P13" i="25" s="1"/>
  <c r="N13" i="25"/>
  <c r="O10" i="25"/>
  <c r="N10" i="25"/>
  <c r="O9" i="25"/>
  <c r="P9" i="25" s="1"/>
  <c r="N9" i="25"/>
  <c r="O8" i="25"/>
  <c r="N8" i="25"/>
  <c r="P8" i="25" s="1"/>
  <c r="O6" i="25"/>
  <c r="P6" i="25" s="1"/>
  <c r="N6" i="25"/>
  <c r="M6" i="25"/>
  <c r="L6" i="25"/>
  <c r="O7" i="25"/>
  <c r="N7" i="25"/>
  <c r="M16" i="25"/>
  <c r="L16" i="25"/>
  <c r="P17" i="25"/>
  <c r="M17" i="25"/>
  <c r="L17" i="25"/>
  <c r="P18" i="25"/>
  <c r="M18" i="25"/>
  <c r="L18" i="25"/>
  <c r="P19" i="25"/>
  <c r="M19" i="25"/>
  <c r="L19" i="25"/>
  <c r="P15" i="25"/>
  <c r="M15" i="25"/>
  <c r="L15" i="25"/>
  <c r="M13" i="25"/>
  <c r="L13" i="25"/>
  <c r="P12" i="25"/>
  <c r="M12" i="25"/>
  <c r="L12" i="25"/>
  <c r="P10" i="25"/>
  <c r="M10" i="25"/>
  <c r="L10" i="25"/>
  <c r="M11" i="25"/>
  <c r="L11" i="25"/>
  <c r="M9" i="25"/>
  <c r="L9" i="25"/>
  <c r="M8" i="25"/>
  <c r="L8" i="25"/>
  <c r="M7" i="25"/>
  <c r="L7" i="25"/>
  <c r="P7" i="25"/>
  <c r="O7" i="24"/>
  <c r="N7" i="24"/>
  <c r="P7" i="24" s="1"/>
  <c r="O8" i="24"/>
  <c r="N8" i="24"/>
  <c r="B6" i="24"/>
  <c r="B7" i="24"/>
  <c r="B8" i="24" s="1"/>
  <c r="B9" i="24" s="1"/>
  <c r="B10" i="24" s="1"/>
  <c r="B11" i="24" s="1"/>
  <c r="B12" i="24" s="1"/>
  <c r="B13" i="24" s="1"/>
  <c r="B14" i="24" s="1"/>
  <c r="B15" i="24" s="1"/>
  <c r="B16" i="24" s="1"/>
  <c r="B17" i="24" s="1"/>
  <c r="O14" i="24"/>
  <c r="N14" i="24"/>
  <c r="P14" i="24" s="1"/>
  <c r="O6" i="24"/>
  <c r="N6" i="24"/>
  <c r="O13" i="24"/>
  <c r="N13" i="24"/>
  <c r="O11" i="24"/>
  <c r="N11" i="24"/>
  <c r="O10" i="24"/>
  <c r="N10" i="24"/>
  <c r="P10" i="24" s="1"/>
  <c r="O12" i="24"/>
  <c r="N12" i="24"/>
  <c r="O17" i="24"/>
  <c r="N17" i="24"/>
  <c r="P17" i="24" s="1"/>
  <c r="O16" i="24"/>
  <c r="N16" i="24"/>
  <c r="O15" i="24"/>
  <c r="N15" i="24"/>
  <c r="P15" i="24" s="1"/>
  <c r="O9" i="24"/>
  <c r="N9" i="24"/>
  <c r="M6" i="24"/>
  <c r="L6" i="24"/>
  <c r="M14" i="24"/>
  <c r="L14" i="24"/>
  <c r="M16" i="24"/>
  <c r="L16" i="24"/>
  <c r="M17" i="24"/>
  <c r="L17" i="24"/>
  <c r="M15" i="24"/>
  <c r="L15" i="24"/>
  <c r="M12" i="24"/>
  <c r="L12" i="24"/>
  <c r="M13" i="24"/>
  <c r="L13" i="24"/>
  <c r="M10" i="24"/>
  <c r="L10" i="24"/>
  <c r="M9" i="24"/>
  <c r="L9" i="24"/>
  <c r="M11" i="24"/>
  <c r="L11" i="24"/>
  <c r="M8" i="24"/>
  <c r="L8" i="24"/>
  <c r="M7" i="24"/>
  <c r="L7" i="24"/>
  <c r="P6" i="24"/>
  <c r="P11" i="24"/>
  <c r="P12" i="24"/>
  <c r="P8" i="24"/>
  <c r="P9" i="24"/>
  <c r="P13" i="24"/>
  <c r="P16" i="24"/>
  <c r="O7" i="23"/>
  <c r="N7" i="23"/>
  <c r="B6" i="23"/>
  <c r="B7" i="23" s="1"/>
  <c r="B8" i="23" s="1"/>
  <c r="B9" i="23" s="1"/>
  <c r="B10" i="23" s="1"/>
  <c r="B11" i="23" s="1"/>
  <c r="B12" i="23" s="1"/>
  <c r="B13" i="23" s="1"/>
  <c r="B14" i="23" s="1"/>
  <c r="B15" i="23" s="1"/>
  <c r="B16" i="23" s="1"/>
  <c r="O16" i="23"/>
  <c r="P16" i="23" s="1"/>
  <c r="N16" i="23"/>
  <c r="O6" i="23"/>
  <c r="N6" i="23"/>
  <c r="P6" i="23" s="1"/>
  <c r="O11" i="23"/>
  <c r="N11" i="23"/>
  <c r="O8" i="23"/>
  <c r="N8" i="23"/>
  <c r="O10" i="23"/>
  <c r="N10" i="23"/>
  <c r="O12" i="23"/>
  <c r="N12" i="23"/>
  <c r="P12" i="23" s="1"/>
  <c r="O14" i="23"/>
  <c r="P14" i="23" s="1"/>
  <c r="N14" i="23"/>
  <c r="O9" i="23"/>
  <c r="N9" i="23"/>
  <c r="P9" i="23" s="1"/>
  <c r="O15" i="23"/>
  <c r="N15" i="23"/>
  <c r="O13" i="23"/>
  <c r="N13" i="23"/>
  <c r="P13" i="23" s="1"/>
  <c r="P7" i="23"/>
  <c r="M7" i="23"/>
  <c r="L7" i="23"/>
  <c r="M15" i="23"/>
  <c r="L15" i="23"/>
  <c r="M16" i="23"/>
  <c r="L16" i="23"/>
  <c r="M14" i="23"/>
  <c r="L14" i="23"/>
  <c r="M13" i="23"/>
  <c r="L13" i="23"/>
  <c r="M12" i="23"/>
  <c r="L12" i="23"/>
  <c r="P8" i="23"/>
  <c r="M8" i="23"/>
  <c r="L8" i="23"/>
  <c r="M9" i="23"/>
  <c r="L9" i="23"/>
  <c r="P10" i="23"/>
  <c r="M10" i="23"/>
  <c r="L10" i="23"/>
  <c r="M11" i="23"/>
  <c r="L11" i="23"/>
  <c r="M6" i="23"/>
  <c r="L6" i="23"/>
  <c r="P11" i="23"/>
  <c r="P15" i="23"/>
  <c r="O6" i="22"/>
  <c r="N6" i="22"/>
  <c r="B6" i="22"/>
  <c r="B7" i="22"/>
  <c r="B8" i="22" s="1"/>
  <c r="B9" i="22" s="1"/>
  <c r="B10" i="22" s="1"/>
  <c r="B11" i="22" s="1"/>
  <c r="B12" i="22" s="1"/>
  <c r="B13" i="22" s="1"/>
  <c r="B14" i="22" s="1"/>
  <c r="B15" i="22" s="1"/>
  <c r="O14" i="22"/>
  <c r="N14" i="22"/>
  <c r="O7" i="22"/>
  <c r="N7" i="22"/>
  <c r="O10" i="22"/>
  <c r="N10" i="22"/>
  <c r="O8" i="22"/>
  <c r="N8" i="22"/>
  <c r="O11" i="22"/>
  <c r="N11" i="22"/>
  <c r="O13" i="22"/>
  <c r="N13" i="22"/>
  <c r="O15" i="22"/>
  <c r="N15" i="22"/>
  <c r="O9" i="22"/>
  <c r="N9" i="22"/>
  <c r="P9" i="22" s="1"/>
  <c r="O12" i="22"/>
  <c r="N12" i="22"/>
  <c r="M6" i="22"/>
  <c r="L6" i="22"/>
  <c r="P6" i="22"/>
  <c r="M14" i="22"/>
  <c r="L14" i="22"/>
  <c r="P13" i="22"/>
  <c r="M13" i="22"/>
  <c r="L13" i="22"/>
  <c r="M15" i="22"/>
  <c r="L15" i="22"/>
  <c r="P12" i="22"/>
  <c r="M12" i="22"/>
  <c r="L12" i="22"/>
  <c r="M9" i="22"/>
  <c r="L9" i="22"/>
  <c r="P11" i="22"/>
  <c r="M11" i="22"/>
  <c r="L11" i="22"/>
  <c r="M8" i="22"/>
  <c r="L8" i="22"/>
  <c r="P10" i="22"/>
  <c r="M10" i="22"/>
  <c r="L10" i="22"/>
  <c r="M7" i="22"/>
  <c r="L7" i="22"/>
  <c r="P7" i="22"/>
  <c r="P15" i="22"/>
  <c r="P14" i="22"/>
  <c r="P8" i="22"/>
  <c r="B6" i="21"/>
  <c r="B7" i="21" s="1"/>
  <c r="B8" i="21" s="1"/>
  <c r="B9" i="21" s="1"/>
  <c r="B10" i="21" s="1"/>
  <c r="B11" i="21" s="1"/>
  <c r="B12" i="21" s="1"/>
  <c r="B13" i="21" s="1"/>
  <c r="B14" i="21" s="1"/>
  <c r="O6" i="21"/>
  <c r="N6" i="21"/>
  <c r="P6" i="21" s="1"/>
  <c r="L7" i="21"/>
  <c r="M7" i="21"/>
  <c r="N7" i="21"/>
  <c r="O7" i="21"/>
  <c r="P7" i="21"/>
  <c r="O14" i="21"/>
  <c r="N14" i="21"/>
  <c r="O8" i="21"/>
  <c r="N8" i="21"/>
  <c r="P8" i="21" s="1"/>
  <c r="O9" i="21"/>
  <c r="N9" i="21"/>
  <c r="O13" i="21"/>
  <c r="N13" i="21"/>
  <c r="P13" i="21" s="1"/>
  <c r="O12" i="21"/>
  <c r="N12" i="21"/>
  <c r="O10" i="21"/>
  <c r="N10" i="21"/>
  <c r="O11" i="21"/>
  <c r="N11" i="21"/>
  <c r="M13" i="21"/>
  <c r="L13" i="21"/>
  <c r="P12" i="21"/>
  <c r="M12" i="21"/>
  <c r="L12" i="21"/>
  <c r="P11" i="21"/>
  <c r="M11" i="21"/>
  <c r="L11" i="21"/>
  <c r="M14" i="21"/>
  <c r="L14" i="21"/>
  <c r="M9" i="21"/>
  <c r="L9" i="21"/>
  <c r="P10" i="21"/>
  <c r="M10" i="21"/>
  <c r="L10" i="21"/>
  <c r="M8" i="21"/>
  <c r="L8" i="21"/>
  <c r="M6" i="21"/>
  <c r="L6" i="21"/>
  <c r="P9" i="21"/>
  <c r="P14" i="21"/>
  <c r="O11" i="20"/>
  <c r="N11" i="20"/>
  <c r="O10" i="20"/>
  <c r="N10" i="20"/>
  <c r="O9" i="20"/>
  <c r="N9" i="20"/>
  <c r="P9" i="20" s="1"/>
  <c r="O13" i="20"/>
  <c r="N13" i="20"/>
  <c r="N12" i="20"/>
  <c r="P12" i="20" s="1"/>
  <c r="O12" i="20"/>
  <c r="O6" i="20"/>
  <c r="N6" i="20"/>
  <c r="O7" i="20"/>
  <c r="N7" i="20"/>
  <c r="O8" i="20"/>
  <c r="N8" i="20"/>
  <c r="P13" i="20"/>
  <c r="M13" i="20"/>
  <c r="L13" i="20"/>
  <c r="M12" i="20"/>
  <c r="L12" i="20"/>
  <c r="P11" i="20"/>
  <c r="M11" i="20"/>
  <c r="L11" i="20"/>
  <c r="M10" i="20"/>
  <c r="L10" i="20"/>
  <c r="M9" i="20"/>
  <c r="L9" i="20"/>
  <c r="P8" i="20"/>
  <c r="M8" i="20"/>
  <c r="L8" i="20"/>
  <c r="M7" i="20"/>
  <c r="L7" i="20"/>
  <c r="B6" i="20"/>
  <c r="B7" i="20" s="1"/>
  <c r="B8" i="20" s="1"/>
  <c r="B9" i="20" s="1"/>
  <c r="B10" i="20" s="1"/>
  <c r="B11" i="20" s="1"/>
  <c r="B12" i="20" s="1"/>
  <c r="B13" i="20" s="1"/>
  <c r="P6" i="20"/>
  <c r="M6" i="20"/>
  <c r="L6" i="20"/>
  <c r="P7" i="20"/>
  <c r="P10" i="20"/>
  <c r="B6" i="19"/>
  <c r="B7" i="19"/>
  <c r="B8" i="19" s="1"/>
  <c r="B9" i="19" s="1"/>
  <c r="B10" i="19" s="1"/>
  <c r="B11" i="19" s="1"/>
  <c r="B12" i="19" s="1"/>
  <c r="B13" i="19" s="1"/>
  <c r="B14" i="19" s="1"/>
  <c r="O6" i="19"/>
  <c r="P6" i="19" s="1"/>
  <c r="N6" i="19"/>
  <c r="O14" i="19"/>
  <c r="N14" i="19"/>
  <c r="P14" i="19" s="1"/>
  <c r="O7" i="19"/>
  <c r="P7" i="19" s="1"/>
  <c r="N7" i="19"/>
  <c r="O9" i="19"/>
  <c r="N9" i="19"/>
  <c r="O13" i="19"/>
  <c r="P13" i="19" s="1"/>
  <c r="N13" i="19"/>
  <c r="O12" i="19"/>
  <c r="N12" i="19"/>
  <c r="P12" i="19" s="1"/>
  <c r="O8" i="19"/>
  <c r="N8" i="19"/>
  <c r="P8" i="19" s="1"/>
  <c r="O11" i="19"/>
  <c r="N11" i="19"/>
  <c r="P11" i="19" s="1"/>
  <c r="O10" i="19"/>
  <c r="N10" i="19"/>
  <c r="M14" i="19"/>
  <c r="L14" i="19"/>
  <c r="M12" i="19"/>
  <c r="L12" i="19"/>
  <c r="M11" i="19"/>
  <c r="L11" i="19"/>
  <c r="M13" i="19"/>
  <c r="L13" i="19"/>
  <c r="M10" i="19"/>
  <c r="L10" i="19"/>
  <c r="M8" i="19"/>
  <c r="L8" i="19"/>
  <c r="M9" i="19"/>
  <c r="L9" i="19"/>
  <c r="M7" i="19"/>
  <c r="L7" i="19"/>
  <c r="M6" i="19"/>
  <c r="L6" i="19"/>
  <c r="P9" i="19"/>
  <c r="P10" i="19"/>
  <c r="O9" i="18"/>
  <c r="N9" i="18"/>
  <c r="O6" i="18"/>
  <c r="N6" i="18"/>
  <c r="P6" i="18" s="1"/>
  <c r="O7" i="18"/>
  <c r="N7" i="18"/>
  <c r="O10" i="18"/>
  <c r="N10" i="18"/>
  <c r="P10" i="18" s="1"/>
  <c r="O11" i="18"/>
  <c r="N11" i="18"/>
  <c r="O13" i="18"/>
  <c r="N13" i="18"/>
  <c r="O12" i="18"/>
  <c r="N12" i="18"/>
  <c r="O8" i="18"/>
  <c r="N8" i="18"/>
  <c r="P8" i="18" s="1"/>
  <c r="B6" i="18"/>
  <c r="B7" i="18" s="1"/>
  <c r="B8" i="18" s="1"/>
  <c r="B9" i="18" s="1"/>
  <c r="B10" i="18" s="1"/>
  <c r="B11" i="18" s="1"/>
  <c r="B12" i="18" s="1"/>
  <c r="B13" i="18" s="1"/>
  <c r="P11" i="18"/>
  <c r="M11" i="18"/>
  <c r="L11" i="18"/>
  <c r="M13" i="18"/>
  <c r="L13" i="18"/>
  <c r="P12" i="18"/>
  <c r="M12" i="18"/>
  <c r="L12" i="18"/>
  <c r="M10" i="18"/>
  <c r="L10" i="18"/>
  <c r="P9" i="18"/>
  <c r="M9" i="18"/>
  <c r="L9" i="18"/>
  <c r="M8" i="18"/>
  <c r="L8" i="18"/>
  <c r="P7" i="18"/>
  <c r="M7" i="18"/>
  <c r="L7" i="18"/>
  <c r="M6" i="18"/>
  <c r="L6" i="18"/>
  <c r="P13" i="18"/>
  <c r="O7" i="17"/>
  <c r="N7" i="17"/>
  <c r="O8" i="17"/>
  <c r="N8" i="17"/>
  <c r="P8" i="17" s="1"/>
  <c r="N9" i="17"/>
  <c r="O13" i="17"/>
  <c r="N13" i="17"/>
  <c r="O12" i="17"/>
  <c r="P12" i="17" s="1"/>
  <c r="N12" i="17"/>
  <c r="O9" i="17"/>
  <c r="O11" i="17"/>
  <c r="N11" i="17"/>
  <c r="P11" i="17" s="1"/>
  <c r="O10" i="17"/>
  <c r="N10" i="17"/>
  <c r="P13" i="17"/>
  <c r="M13" i="17"/>
  <c r="L13" i="17"/>
  <c r="M12" i="17"/>
  <c r="L12" i="17"/>
  <c r="M11" i="17"/>
  <c r="L11" i="17"/>
  <c r="P10" i="17"/>
  <c r="M10" i="17"/>
  <c r="L10" i="17"/>
  <c r="P9" i="17"/>
  <c r="M9" i="17"/>
  <c r="L9" i="17"/>
  <c r="M8" i="17"/>
  <c r="L8" i="17"/>
  <c r="P7" i="17"/>
  <c r="M7" i="17"/>
  <c r="L7" i="17"/>
  <c r="P6" i="17"/>
  <c r="M6" i="17"/>
  <c r="L6" i="17"/>
  <c r="B6" i="17"/>
  <c r="B7" i="17"/>
  <c r="B8" i="17" s="1"/>
  <c r="B9" i="17" s="1"/>
  <c r="B10" i="17" s="1"/>
  <c r="B11" i="17" s="1"/>
  <c r="B12" i="17" s="1"/>
  <c r="B13" i="17" s="1"/>
  <c r="B6" i="16"/>
  <c r="B7" i="16"/>
  <c r="B8" i="16" s="1"/>
  <c r="B9" i="16" s="1"/>
  <c r="B10" i="16" s="1"/>
  <c r="B11" i="16" s="1"/>
  <c r="B12" i="16" s="1"/>
  <c r="B13" i="16" s="1"/>
  <c r="P12" i="16"/>
  <c r="M12" i="16"/>
  <c r="L12" i="16"/>
  <c r="P13" i="16"/>
  <c r="M13" i="16"/>
  <c r="L13" i="16"/>
  <c r="P11" i="16"/>
  <c r="M11" i="16"/>
  <c r="L11" i="16"/>
  <c r="P10" i="16"/>
  <c r="M10" i="16"/>
  <c r="L10" i="16"/>
  <c r="P9" i="16"/>
  <c r="M9" i="16"/>
  <c r="L9" i="16"/>
  <c r="P8" i="16"/>
  <c r="M8" i="16"/>
  <c r="L8" i="16"/>
  <c r="P7" i="16"/>
  <c r="M7" i="16"/>
  <c r="L7" i="16"/>
  <c r="P6" i="16"/>
  <c r="M6" i="16"/>
  <c r="L6" i="16"/>
  <c r="B6" i="15"/>
  <c r="B7" i="15"/>
  <c r="B8" i="15" s="1"/>
  <c r="B9" i="15" s="1"/>
  <c r="B10" i="15" s="1"/>
  <c r="B11" i="15" s="1"/>
  <c r="B12" i="15" s="1"/>
  <c r="B13" i="15" s="1"/>
  <c r="P11" i="15"/>
  <c r="P13" i="15"/>
  <c r="L11" i="15"/>
  <c r="M11" i="15"/>
  <c r="L13" i="15"/>
  <c r="M13" i="15"/>
  <c r="P12" i="15"/>
  <c r="M12" i="15"/>
  <c r="L12" i="15"/>
  <c r="P10" i="15"/>
  <c r="M10" i="15"/>
  <c r="L10" i="15"/>
  <c r="P9" i="15"/>
  <c r="M9" i="15"/>
  <c r="L9" i="15"/>
  <c r="P7" i="15"/>
  <c r="M7" i="15"/>
  <c r="L7" i="15"/>
  <c r="P8" i="15"/>
  <c r="M8" i="15"/>
  <c r="L8" i="15"/>
  <c r="P6" i="15"/>
  <c r="M6" i="15"/>
  <c r="L6" i="15"/>
  <c r="B6" i="14"/>
  <c r="B7" i="14"/>
  <c r="B8" i="14" s="1"/>
  <c r="B9" i="14" s="1"/>
  <c r="B10" i="14" s="1"/>
  <c r="B11" i="14" s="1"/>
  <c r="P11" i="14"/>
  <c r="M11" i="14"/>
  <c r="L11" i="14"/>
  <c r="P9" i="14"/>
  <c r="M9" i="14"/>
  <c r="L9" i="14"/>
  <c r="P10" i="14"/>
  <c r="M10" i="14"/>
  <c r="L10" i="14"/>
  <c r="P8" i="14"/>
  <c r="M8" i="14"/>
  <c r="L8" i="14"/>
  <c r="P7" i="14"/>
  <c r="M7" i="14"/>
  <c r="L7" i="14"/>
  <c r="P6" i="14"/>
  <c r="M6" i="14"/>
  <c r="L6" i="14"/>
  <c r="P11" i="13"/>
  <c r="M11" i="13"/>
  <c r="L11" i="13"/>
  <c r="P10" i="13"/>
  <c r="M10" i="13"/>
  <c r="L10" i="13"/>
  <c r="P9" i="13"/>
  <c r="M9" i="13"/>
  <c r="L9" i="13"/>
  <c r="P8" i="13"/>
  <c r="M8" i="13"/>
  <c r="L8" i="13"/>
  <c r="P7" i="13"/>
  <c r="M7" i="13"/>
  <c r="L7" i="13"/>
  <c r="P6" i="13"/>
  <c r="M6" i="13"/>
  <c r="L6" i="13"/>
  <c r="B6" i="13"/>
  <c r="B7" i="13" s="1"/>
  <c r="B8" i="13" s="1"/>
  <c r="B9" i="13" s="1"/>
  <c r="B10" i="13" s="1"/>
  <c r="B11" i="13" s="1"/>
  <c r="B6" i="12"/>
  <c r="B7" i="12"/>
  <c r="B8" i="12" s="1"/>
  <c r="B9" i="12" s="1"/>
  <c r="B10" i="12" s="1"/>
  <c r="P10" i="12"/>
  <c r="M10" i="12"/>
  <c r="L10" i="12"/>
  <c r="P8" i="12"/>
  <c r="M8" i="12"/>
  <c r="L8" i="12"/>
  <c r="P6" i="12"/>
  <c r="M6" i="12"/>
  <c r="L6" i="12"/>
  <c r="P7" i="12"/>
  <c r="M7" i="12"/>
  <c r="L7" i="12"/>
  <c r="P9" i="12"/>
  <c r="M9" i="12"/>
  <c r="L9" i="12"/>
  <c r="P7" i="11"/>
  <c r="M7" i="11"/>
  <c r="L7" i="11"/>
  <c r="P10" i="11"/>
  <c r="M10" i="11"/>
  <c r="L10" i="11"/>
  <c r="P9" i="11"/>
  <c r="M9" i="11"/>
  <c r="L9" i="11"/>
  <c r="P8" i="11"/>
  <c r="M8" i="11"/>
  <c r="L8" i="11"/>
  <c r="P6" i="11"/>
  <c r="M6" i="11"/>
  <c r="L6" i="11"/>
  <c r="B6" i="11"/>
  <c r="B7" i="11"/>
  <c r="B8" i="11"/>
  <c r="B9" i="11" s="1"/>
  <c r="B10" i="11" s="1"/>
  <c r="P7" i="10"/>
  <c r="M7" i="10"/>
  <c r="L7" i="10"/>
  <c r="P9" i="10"/>
  <c r="M9" i="10"/>
  <c r="L9" i="10"/>
  <c r="P8" i="10"/>
  <c r="M8" i="10"/>
  <c r="L8" i="10"/>
  <c r="P6" i="10"/>
  <c r="M6" i="10"/>
  <c r="L6" i="10"/>
  <c r="B6" i="10"/>
  <c r="B7" i="10"/>
  <c r="B8" i="10" s="1"/>
  <c r="B9" i="10" s="1"/>
  <c r="P8" i="8"/>
  <c r="P7" i="8"/>
  <c r="M8" i="8"/>
  <c r="L8" i="8"/>
  <c r="M7" i="8"/>
  <c r="L7" i="8"/>
  <c r="B6" i="9"/>
  <c r="L6" i="9"/>
  <c r="M6" i="9"/>
  <c r="P6" i="9"/>
  <c r="B7" i="9"/>
  <c r="L7" i="9"/>
  <c r="M7" i="9"/>
  <c r="P7" i="9"/>
  <c r="B6" i="8"/>
  <c r="B7" i="8"/>
  <c r="B8" i="8"/>
  <c r="P6" i="8"/>
  <c r="M6" i="8"/>
  <c r="L6" i="8"/>
  <c r="B6" i="7"/>
  <c r="B7" i="7"/>
  <c r="P6" i="7"/>
  <c r="M6" i="7"/>
  <c r="L6" i="7"/>
  <c r="P7" i="7"/>
  <c r="M7" i="7"/>
  <c r="L7" i="7"/>
  <c r="P6" i="6"/>
  <c r="M6" i="6"/>
  <c r="L6" i="6"/>
  <c r="B6" i="6"/>
  <c r="P6" i="5"/>
  <c r="M6" i="5"/>
  <c r="L6" i="5"/>
  <c r="B6" i="5"/>
  <c r="P6" i="4"/>
  <c r="M6" i="4"/>
  <c r="L6" i="4"/>
  <c r="B6" i="4"/>
  <c r="P6" i="3"/>
  <c r="M6" i="3"/>
  <c r="L6" i="3"/>
  <c r="B6" i="3"/>
  <c r="P6" i="2"/>
  <c r="M6" i="2"/>
  <c r="L6" i="2"/>
  <c r="B6" i="2"/>
  <c r="P6" i="1"/>
  <c r="L6" i="1"/>
  <c r="B6" i="1"/>
  <c r="M6" i="1"/>
</calcChain>
</file>

<file path=xl/sharedStrings.xml><?xml version="1.0" encoding="utf-8"?>
<sst xmlns="http://schemas.openxmlformats.org/spreadsheetml/2006/main" count="1140" uniqueCount="94">
  <si>
    <t>Filmin Adı</t>
  </si>
  <si>
    <t>Vizyon Tarihi</t>
  </si>
  <si>
    <t>Dağıtımcı</t>
  </si>
  <si>
    <t>Şirket</t>
  </si>
  <si>
    <t>Kopya Adedi</t>
  </si>
  <si>
    <t>Salon Adedi</t>
  </si>
  <si>
    <t>Hasılat</t>
  </si>
  <si>
    <t>Seyirci</t>
  </si>
  <si>
    <t>Salon Ort.</t>
  </si>
  <si>
    <t>VAMPIRE ACADEMY</t>
  </si>
  <si>
    <t>BİR FİLM</t>
  </si>
  <si>
    <t>CALINOS</t>
  </si>
  <si>
    <t>Bilet F. Ort.</t>
  </si>
  <si>
    <t>Haf</t>
  </si>
  <si>
    <t>BİR FİLM HAFTALIK SEYİRCİ VE HASILAT RAPORU</t>
  </si>
  <si>
    <t>Haftalık Toplam</t>
  </si>
  <si>
    <t>Genel Toplam</t>
  </si>
  <si>
    <t>Hafta:</t>
  </si>
  <si>
    <t>TariH:</t>
  </si>
  <si>
    <t>14 - 20 Şubat 2014</t>
  </si>
  <si>
    <t>2014 / 07</t>
  </si>
  <si>
    <t>2014 / 08</t>
  </si>
  <si>
    <t>21 - 27 Şubat 2014</t>
  </si>
  <si>
    <t>2014 / 09</t>
  </si>
  <si>
    <t>28 Şubat - 06 Mart 2014</t>
  </si>
  <si>
    <t>2014 / 10</t>
  </si>
  <si>
    <t>07 - 13 Mart 2014</t>
  </si>
  <si>
    <t>2014 / 11</t>
  </si>
  <si>
    <t>14 - 20 Mart 2014</t>
  </si>
  <si>
    <t>2014 / 12</t>
  </si>
  <si>
    <t>21 - 27 Mart 2014</t>
  </si>
  <si>
    <t>2014 / 13</t>
  </si>
  <si>
    <t>28 Mart - 03 Nisan 2014</t>
  </si>
  <si>
    <t>BEAUTY AND THE BEAST</t>
  </si>
  <si>
    <t>2014 / 14</t>
  </si>
  <si>
    <t>04 - 10 Nisan 2014</t>
  </si>
  <si>
    <t>HAUNTER</t>
  </si>
  <si>
    <t>2014 / 15</t>
  </si>
  <si>
    <t>11 - 17 Nisan 2014</t>
  </si>
  <si>
    <t>2014 / 16</t>
  </si>
  <si>
    <t>18 - 24 Nisan 2014</t>
  </si>
  <si>
    <t>LITTLE GHOST, THE</t>
  </si>
  <si>
    <t>2014 / 17</t>
  </si>
  <si>
    <t>25 Nisan - 01 Mayıs 2014</t>
  </si>
  <si>
    <t>CHINESE PUZZLE</t>
  </si>
  <si>
    <t>Tarih:</t>
  </si>
  <si>
    <t>2014 / 18</t>
  </si>
  <si>
    <t>02 - 08 Mayıs 2014</t>
  </si>
  <si>
    <t>RETURNED, THE</t>
  </si>
  <si>
    <t>2014 / 19</t>
  </si>
  <si>
    <t>09 - 15 Mayıs 2014</t>
  </si>
  <si>
    <t>2014 / 20</t>
  </si>
  <si>
    <t>16 - 22 Mayıs 2014</t>
  </si>
  <si>
    <t>ENEMY</t>
  </si>
  <si>
    <t>2014 / 21</t>
  </si>
  <si>
    <t>23 - 29 Mayıs 2014</t>
  </si>
  <si>
    <t>DARK TOUCH</t>
  </si>
  <si>
    <t>2014 / 22</t>
  </si>
  <si>
    <t>30 Mayıs - 05 Haziran 2014</t>
  </si>
  <si>
    <t>2014 / 23</t>
  </si>
  <si>
    <t>06 - 12 Haziran 2014</t>
  </si>
  <si>
    <t>RIGHT KIND OF WRONG, THE</t>
  </si>
  <si>
    <t>2014 / 24</t>
  </si>
  <si>
    <t>13 - 19 Haziran 2014</t>
  </si>
  <si>
    <t>2014 / 25</t>
  </si>
  <si>
    <t>20 - 26 Haziran 2014</t>
  </si>
  <si>
    <t>2014 / 26</t>
  </si>
  <si>
    <t>27 Haziran - 03 Temmuz 2014</t>
  </si>
  <si>
    <t>2014 / 27</t>
  </si>
  <si>
    <t>04 - 10 Temmuz 2014</t>
  </si>
  <si>
    <t>WHO KILLED BAMBI</t>
  </si>
  <si>
    <t>SİYAH BEYAZ MOVIES</t>
  </si>
  <si>
    <t>2014 / 28</t>
  </si>
  <si>
    <t>11 - 17 Temmuz 2014</t>
  </si>
  <si>
    <t>NICHOLAS ON HOLIDAY</t>
  </si>
  <si>
    <t>FİLMA</t>
  </si>
  <si>
    <t>2014 / 29</t>
  </si>
  <si>
    <t>BARCELONA SUMMER NIGHT</t>
  </si>
  <si>
    <t>18 - 24 Temmuz 2014</t>
  </si>
  <si>
    <t>2014 / 30</t>
  </si>
  <si>
    <t>25 - 31 Temmuz 2014</t>
  </si>
  <si>
    <t>IN FEAR</t>
  </si>
  <si>
    <t>2014 / 31</t>
  </si>
  <si>
    <t>01 - 07 Ağustos 2014</t>
  </si>
  <si>
    <t>WISH I WAS HERE</t>
  </si>
  <si>
    <t>2014 / 32</t>
  </si>
  <si>
    <t>08 - 14 Ağustos 2014</t>
  </si>
  <si>
    <t>2014 / 33</t>
  </si>
  <si>
    <t>15 - 21 Ağustos 2014</t>
  </si>
  <si>
    <t xml:space="preserve">BABADOOK, THE </t>
  </si>
  <si>
    <t>2014 / 34</t>
  </si>
  <si>
    <t>22 - 28 Ağustos 2014</t>
  </si>
  <si>
    <t>SERIAL (BAD) WEDDINGS</t>
  </si>
  <si>
    <t>LİMON YAPIM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</si>
</sst>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T_L_-;\-* #,##0.00\ _T_L_-;_-* &quot;-&quot;??\ _T_L_-;_-@_-"/>
    <numFmt numFmtId="164" formatCode="dd/mm/yy"/>
    <numFmt numFmtId="165" formatCode="0.00\ "/>
    <numFmt numFmtId="166" formatCode="#,##0.00\ \ "/>
    <numFmt numFmtId="167" formatCode="#,##0\ "/>
    <numFmt numFmtId="168" formatCode="[$-F400]h:mm:ss\ AM/PM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08">
    <xf numFmtId="0" fontId="0" fillId="0" borderId="0" xfId="0"/>
    <xf numFmtId="0" fontId="3" fillId="0" borderId="22" xfId="0" applyFont="1" applyBorder="1" applyAlignment="1">
      <alignment horizontal="right" vertical="center"/>
    </xf>
    <xf numFmtId="0" fontId="4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166" fontId="6" fillId="0" borderId="12" xfId="0" applyNumberFormat="1" applyFont="1" applyFill="1" applyBorder="1" applyAlignment="1" applyProtection="1">
      <alignment horizontal="center" vertical="center" wrapText="1"/>
    </xf>
    <xf numFmtId="167" fontId="6" fillId="0" borderId="13" xfId="0" applyNumberFormat="1" applyFont="1" applyFill="1" applyBorder="1" applyAlignment="1" applyProtection="1">
      <alignment horizontal="center" vertical="center" wrapText="1"/>
    </xf>
    <xf numFmtId="167" fontId="6" fillId="0" borderId="12" xfId="0" applyNumberFormat="1" applyFont="1" applyFill="1" applyBorder="1" applyAlignment="1" applyProtection="1">
      <alignment horizontal="center" vertical="center" wrapText="1"/>
    </xf>
    <xf numFmtId="3" fontId="6" fillId="0" borderId="13" xfId="0" applyNumberFormat="1" applyFont="1" applyFill="1" applyBorder="1" applyAlignment="1" applyProtection="1">
      <alignment horizontal="center" vertical="center" wrapText="1"/>
    </xf>
    <xf numFmtId="165" fontId="6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right" vertical="center"/>
    </xf>
    <xf numFmtId="168" fontId="8" fillId="0" borderId="16" xfId="0" applyNumberFormat="1" applyFont="1" applyFill="1" applyBorder="1" applyAlignment="1">
      <alignment horizontal="left" vertical="center" shrinkToFit="1"/>
    </xf>
    <xf numFmtId="164" fontId="8" fillId="0" borderId="17" xfId="0" applyNumberFormat="1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left" vertical="center" shrinkToFit="1"/>
    </xf>
    <xf numFmtId="0" fontId="8" fillId="0" borderId="18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167" fontId="8" fillId="0" borderId="17" xfId="2" applyNumberFormat="1" applyFont="1" applyFill="1" applyBorder="1" applyAlignment="1">
      <alignment horizontal="right" vertical="center" shrinkToFit="1"/>
    </xf>
    <xf numFmtId="166" fontId="4" fillId="0" borderId="20" xfId="2" applyNumberFormat="1" applyFont="1" applyFill="1" applyBorder="1" applyAlignment="1" applyProtection="1">
      <alignment horizontal="right" vertical="center" shrinkToFit="1"/>
    </xf>
    <xf numFmtId="3" fontId="4" fillId="0" borderId="17" xfId="2" applyNumberFormat="1" applyFont="1" applyFill="1" applyBorder="1" applyAlignment="1" applyProtection="1">
      <alignment horizontal="right" vertical="center" shrinkToFit="1"/>
    </xf>
    <xf numFmtId="165" fontId="8" fillId="0" borderId="21" xfId="2" applyNumberFormat="1" applyFont="1" applyFill="1" applyBorder="1" applyAlignment="1">
      <alignment vertical="center" shrinkToFit="1"/>
    </xf>
    <xf numFmtId="166" fontId="8" fillId="0" borderId="20" xfId="0" applyNumberFormat="1" applyFont="1" applyFill="1" applyBorder="1" applyAlignment="1">
      <alignment vertical="center" shrinkToFit="1"/>
    </xf>
    <xf numFmtId="167" fontId="8" fillId="0" borderId="17" xfId="2" applyNumberFormat="1" applyFont="1" applyFill="1" applyBorder="1" applyAlignment="1" applyProtection="1">
      <alignment vertical="center" shrinkToFit="1"/>
      <protection locked="0"/>
    </xf>
    <xf numFmtId="166" fontId="8" fillId="0" borderId="21" xfId="0" applyNumberFormat="1" applyFont="1" applyFill="1" applyBorder="1" applyAlignment="1">
      <alignment vertical="center" shrinkToFit="1"/>
    </xf>
    <xf numFmtId="3" fontId="4" fillId="0" borderId="0" xfId="0" applyNumberFormat="1" applyFont="1" applyFill="1" applyBorder="1" applyAlignment="1" applyProtection="1">
      <alignment horizontal="center" vertical="center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2" fontId="3" fillId="0" borderId="23" xfId="0" applyNumberFormat="1" applyFont="1" applyBorder="1" applyAlignment="1">
      <alignment horizontal="right" vertical="center"/>
    </xf>
    <xf numFmtId="166" fontId="4" fillId="3" borderId="20" xfId="2" applyNumberFormat="1" applyFont="1" applyFill="1" applyBorder="1" applyAlignment="1" applyProtection="1">
      <alignment horizontal="right" vertical="center" shrinkToFit="1"/>
    </xf>
    <xf numFmtId="3" fontId="4" fillId="3" borderId="17" xfId="2" applyNumberFormat="1" applyFont="1" applyFill="1" applyBorder="1" applyAlignment="1" applyProtection="1">
      <alignment horizontal="right" vertical="center" shrinkToFit="1"/>
    </xf>
    <xf numFmtId="166" fontId="8" fillId="3" borderId="20" xfId="0" applyNumberFormat="1" applyFont="1" applyFill="1" applyBorder="1" applyAlignment="1">
      <alignment vertical="center" shrinkToFit="1"/>
    </xf>
    <xf numFmtId="167" fontId="8" fillId="3" borderId="17" xfId="2" applyNumberFormat="1" applyFont="1" applyFill="1" applyBorder="1" applyAlignment="1" applyProtection="1">
      <alignment vertical="center" shrinkToFit="1"/>
      <protection locked="0"/>
    </xf>
    <xf numFmtId="2" fontId="3" fillId="0" borderId="23" xfId="0" applyNumberFormat="1" applyFont="1" applyBorder="1" applyAlignment="1">
      <alignment horizontal="right" vertical="center" shrinkToFit="1"/>
    </xf>
    <xf numFmtId="0" fontId="3" fillId="0" borderId="22" xfId="0" applyFont="1" applyBorder="1" applyAlignment="1">
      <alignment horizontal="right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  <xf numFmtId="168" fontId="8" fillId="4" borderId="16" xfId="0" applyNumberFormat="1" applyFont="1" applyFill="1" applyBorder="1" applyAlignment="1">
      <alignment horizontal="left" vertical="center" shrinkToFit="1"/>
    </xf>
    <xf numFmtId="164" fontId="8" fillId="4" borderId="17" xfId="0" applyNumberFormat="1" applyFont="1" applyFill="1" applyBorder="1" applyAlignment="1">
      <alignment horizontal="center" vertical="center" shrinkToFit="1"/>
    </xf>
    <xf numFmtId="0" fontId="8" fillId="4" borderId="17" xfId="0" applyFont="1" applyFill="1" applyBorder="1" applyAlignment="1">
      <alignment horizontal="left" vertical="center" shrinkToFit="1"/>
    </xf>
    <xf numFmtId="0" fontId="8" fillId="4" borderId="18" xfId="0" applyFont="1" applyFill="1" applyBorder="1" applyAlignment="1">
      <alignment horizontal="left" vertical="center" shrinkToFit="1"/>
    </xf>
    <xf numFmtId="0" fontId="8" fillId="4" borderId="17" xfId="0" applyFont="1" applyFill="1" applyBorder="1" applyAlignment="1">
      <alignment horizontal="center" vertical="center" shrinkToFit="1"/>
    </xf>
    <xf numFmtId="167" fontId="8" fillId="4" borderId="17" xfId="2" applyNumberFormat="1" applyFont="1" applyFill="1" applyBorder="1" applyAlignment="1">
      <alignment horizontal="right" vertical="center" shrinkToFit="1"/>
    </xf>
    <xf numFmtId="165" fontId="8" fillId="4" borderId="21" xfId="2" applyNumberFormat="1" applyFont="1" applyFill="1" applyBorder="1" applyAlignment="1">
      <alignment vertical="center" shrinkToFit="1"/>
    </xf>
    <xf numFmtId="166" fontId="8" fillId="4" borderId="21" xfId="0" applyNumberFormat="1" applyFont="1" applyFill="1" applyBorder="1" applyAlignment="1">
      <alignment vertical="center" shrinkToFit="1"/>
    </xf>
    <xf numFmtId="167" fontId="6" fillId="0" borderId="30" xfId="0" applyNumberFormat="1" applyFont="1" applyFill="1" applyBorder="1" applyAlignment="1" applyProtection="1">
      <alignment horizontal="center" vertical="center" wrapText="1"/>
    </xf>
    <xf numFmtId="3" fontId="6" fillId="0" borderId="31" xfId="0" applyNumberFormat="1" applyFont="1" applyFill="1" applyBorder="1" applyAlignment="1" applyProtection="1">
      <alignment horizontal="center" vertical="center" wrapText="1"/>
    </xf>
    <xf numFmtId="167" fontId="6" fillId="0" borderId="31" xfId="0" applyNumberFormat="1" applyFont="1" applyFill="1" applyBorder="1" applyAlignment="1" applyProtection="1">
      <alignment horizontal="center" vertical="center" wrapText="1"/>
    </xf>
    <xf numFmtId="165" fontId="6" fillId="0" borderId="32" xfId="0" applyNumberFormat="1" applyFont="1" applyFill="1" applyBorder="1" applyAlignment="1" applyProtection="1">
      <alignment horizontal="center" vertical="center" wrapText="1"/>
    </xf>
    <xf numFmtId="166" fontId="6" fillId="0" borderId="30" xfId="0" applyNumberFormat="1" applyFont="1" applyFill="1" applyBorder="1" applyAlignment="1" applyProtection="1">
      <alignment horizontal="center" vertical="center" wrapText="1"/>
    </xf>
    <xf numFmtId="164" fontId="8" fillId="4" borderId="34" xfId="0" applyNumberFormat="1" applyFont="1" applyFill="1" applyBorder="1" applyAlignment="1">
      <alignment horizontal="center" vertical="center" shrinkToFit="1"/>
    </xf>
    <xf numFmtId="0" fontId="8" fillId="4" borderId="34" xfId="0" applyFont="1" applyFill="1" applyBorder="1" applyAlignment="1">
      <alignment horizontal="left" vertical="center" shrinkToFit="1"/>
    </xf>
    <xf numFmtId="0" fontId="8" fillId="4" borderId="34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3" fontId="4" fillId="0" borderId="34" xfId="2" applyNumberFormat="1" applyFont="1" applyFill="1" applyBorder="1" applyAlignment="1" applyProtection="1">
      <alignment horizontal="right" vertical="center" shrinkToFit="1"/>
    </xf>
    <xf numFmtId="167" fontId="8" fillId="4" borderId="34" xfId="2" applyNumberFormat="1" applyFont="1" applyFill="1" applyBorder="1" applyAlignment="1">
      <alignment horizontal="right" vertical="center" shrinkToFit="1"/>
    </xf>
    <xf numFmtId="167" fontId="8" fillId="0" borderId="34" xfId="2" applyNumberFormat="1" applyFont="1" applyFill="1" applyBorder="1" applyAlignment="1" applyProtection="1">
      <alignment vertical="center" shrinkToFit="1"/>
      <protection locked="0"/>
    </xf>
    <xf numFmtId="166" fontId="8" fillId="4" borderId="35" xfId="0" applyNumberFormat="1" applyFont="1" applyFill="1" applyBorder="1" applyAlignment="1">
      <alignment vertical="center" shrinkToFit="1"/>
    </xf>
    <xf numFmtId="168" fontId="8" fillId="4" borderId="25" xfId="0" applyNumberFormat="1" applyFont="1" applyFill="1" applyBorder="1" applyAlignment="1">
      <alignment horizontal="left" vertical="center" shrinkToFit="1"/>
    </xf>
    <xf numFmtId="164" fontId="8" fillId="4" borderId="37" xfId="0" applyNumberFormat="1" applyFont="1" applyFill="1" applyBorder="1" applyAlignment="1">
      <alignment horizontal="center" vertical="center" shrinkToFit="1"/>
    </xf>
    <xf numFmtId="0" fontId="8" fillId="4" borderId="37" xfId="0" applyFont="1" applyFill="1" applyBorder="1" applyAlignment="1">
      <alignment horizontal="left" vertical="center" shrinkToFit="1"/>
    </xf>
    <xf numFmtId="0" fontId="8" fillId="4" borderId="38" xfId="0" applyFont="1" applyFill="1" applyBorder="1" applyAlignment="1">
      <alignment horizontal="left" vertical="center" shrinkToFit="1"/>
    </xf>
    <xf numFmtId="0" fontId="8" fillId="4" borderId="37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166" fontId="4" fillId="0" borderId="40" xfId="2" applyNumberFormat="1" applyFont="1" applyFill="1" applyBorder="1" applyAlignment="1" applyProtection="1">
      <alignment horizontal="right" vertical="center" shrinkToFit="1"/>
    </xf>
    <xf numFmtId="3" fontId="4" fillId="0" borderId="37" xfId="2" applyNumberFormat="1" applyFont="1" applyFill="1" applyBorder="1" applyAlignment="1" applyProtection="1">
      <alignment horizontal="right" vertical="center" shrinkToFit="1"/>
    </xf>
    <xf numFmtId="167" fontId="8" fillId="4" borderId="37" xfId="2" applyNumberFormat="1" applyFont="1" applyFill="1" applyBorder="1" applyAlignment="1">
      <alignment horizontal="right" vertical="center" shrinkToFit="1"/>
    </xf>
    <xf numFmtId="165" fontId="8" fillId="4" borderId="41" xfId="2" applyNumberFormat="1" applyFont="1" applyFill="1" applyBorder="1" applyAlignment="1">
      <alignment vertical="center" shrinkToFit="1"/>
    </xf>
    <xf numFmtId="166" fontId="8" fillId="0" borderId="40" xfId="0" applyNumberFormat="1" applyFont="1" applyFill="1" applyBorder="1" applyAlignment="1">
      <alignment vertical="center" shrinkToFit="1"/>
    </xf>
    <xf numFmtId="167" fontId="8" fillId="0" borderId="37" xfId="2" applyNumberFormat="1" applyFont="1" applyFill="1" applyBorder="1" applyAlignment="1" applyProtection="1">
      <alignment vertical="center" shrinkToFit="1"/>
      <protection locked="0"/>
    </xf>
    <xf numFmtId="166" fontId="8" fillId="4" borderId="41" xfId="0" applyNumberFormat="1" applyFont="1" applyFill="1" applyBorder="1" applyAlignment="1">
      <alignment vertical="center" shrinkToFit="1"/>
    </xf>
    <xf numFmtId="0" fontId="5" fillId="0" borderId="36" xfId="0" applyFont="1" applyFill="1" applyBorder="1" applyAlignment="1" applyProtection="1">
      <alignment horizontal="right" vertical="center"/>
    </xf>
    <xf numFmtId="168" fontId="8" fillId="4" borderId="42" xfId="0" applyNumberFormat="1" applyFont="1" applyFill="1" applyBorder="1" applyAlignment="1">
      <alignment horizontal="left" vertical="center" shrinkToFit="1"/>
    </xf>
    <xf numFmtId="0" fontId="8" fillId="4" borderId="43" xfId="0" applyFont="1" applyFill="1" applyBorder="1" applyAlignment="1">
      <alignment horizontal="left" vertical="center" shrinkToFit="1"/>
    </xf>
    <xf numFmtId="0" fontId="8" fillId="0" borderId="44" xfId="0" applyFont="1" applyFill="1" applyBorder="1" applyAlignment="1">
      <alignment horizontal="center" vertical="center" shrinkToFit="1"/>
    </xf>
    <xf numFmtId="166" fontId="4" fillId="0" borderId="33" xfId="2" applyNumberFormat="1" applyFont="1" applyFill="1" applyBorder="1" applyAlignment="1" applyProtection="1">
      <alignment horizontal="right" vertical="center" shrinkToFit="1"/>
    </xf>
    <xf numFmtId="165" fontId="8" fillId="4" borderId="35" xfId="2" applyNumberFormat="1" applyFont="1" applyFill="1" applyBorder="1" applyAlignment="1">
      <alignment vertical="center" shrinkToFit="1"/>
    </xf>
    <xf numFmtId="166" fontId="8" fillId="0" borderId="33" xfId="0" applyNumberFormat="1" applyFont="1" applyFill="1" applyBorder="1" applyAlignment="1">
      <alignment vertical="center" shrinkToFit="1"/>
    </xf>
    <xf numFmtId="0" fontId="5" fillId="0" borderId="45" xfId="0" applyFont="1" applyFill="1" applyBorder="1" applyAlignment="1" applyProtection="1">
      <alignment horizontal="right" vertical="center"/>
    </xf>
    <xf numFmtId="168" fontId="8" fillId="4" borderId="46" xfId="0" applyNumberFormat="1" applyFont="1" applyFill="1" applyBorder="1" applyAlignment="1">
      <alignment horizontal="left" vertical="center" shrinkToFit="1"/>
    </xf>
    <xf numFmtId="164" fontId="8" fillId="4" borderId="47" xfId="0" applyNumberFormat="1" applyFont="1" applyFill="1" applyBorder="1" applyAlignment="1">
      <alignment horizontal="center" vertical="center" shrinkToFit="1"/>
    </xf>
    <xf numFmtId="0" fontId="8" fillId="4" borderId="47" xfId="0" applyFont="1" applyFill="1" applyBorder="1" applyAlignment="1">
      <alignment horizontal="left" vertical="center" shrinkToFit="1"/>
    </xf>
    <xf numFmtId="0" fontId="8" fillId="4" borderId="48" xfId="0" applyFont="1" applyFill="1" applyBorder="1" applyAlignment="1">
      <alignment horizontal="left" vertical="center" shrinkToFit="1"/>
    </xf>
    <xf numFmtId="0" fontId="8" fillId="4" borderId="47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166" fontId="4" fillId="0" borderId="50" xfId="2" applyNumberFormat="1" applyFont="1" applyFill="1" applyBorder="1" applyAlignment="1" applyProtection="1">
      <alignment horizontal="right" vertical="center" shrinkToFit="1"/>
    </xf>
    <xf numFmtId="3" fontId="4" fillId="0" borderId="47" xfId="2" applyNumberFormat="1" applyFont="1" applyFill="1" applyBorder="1" applyAlignment="1" applyProtection="1">
      <alignment horizontal="right" vertical="center" shrinkToFit="1"/>
    </xf>
    <xf numFmtId="167" fontId="8" fillId="4" borderId="47" xfId="2" applyNumberFormat="1" applyFont="1" applyFill="1" applyBorder="1" applyAlignment="1">
      <alignment horizontal="right" vertical="center" shrinkToFit="1"/>
    </xf>
    <xf numFmtId="165" fontId="8" fillId="4" borderId="51" xfId="2" applyNumberFormat="1" applyFont="1" applyFill="1" applyBorder="1" applyAlignment="1">
      <alignment vertical="center" shrinkToFit="1"/>
    </xf>
    <xf numFmtId="166" fontId="8" fillId="0" borderId="50" xfId="0" applyNumberFormat="1" applyFont="1" applyFill="1" applyBorder="1" applyAlignment="1">
      <alignment vertical="center" shrinkToFit="1"/>
    </xf>
    <xf numFmtId="167" fontId="8" fillId="0" borderId="47" xfId="2" applyNumberFormat="1" applyFont="1" applyFill="1" applyBorder="1" applyAlignment="1" applyProtection="1">
      <alignment vertical="center" shrinkToFit="1"/>
      <protection locked="0"/>
    </xf>
    <xf numFmtId="166" fontId="8" fillId="4" borderId="51" xfId="0" applyNumberFormat="1" applyFont="1" applyFill="1" applyBorder="1" applyAlignment="1">
      <alignment vertical="center" shrinkToFit="1"/>
    </xf>
    <xf numFmtId="166" fontId="8" fillId="0" borderId="33" xfId="2" applyNumberFormat="1" applyFont="1" applyFill="1" applyBorder="1" applyAlignment="1" applyProtection="1">
      <alignment horizontal="right" vertical="center" shrinkToFit="1"/>
    </xf>
    <xf numFmtId="168" fontId="8" fillId="4" borderId="25" xfId="0" applyNumberFormat="1" applyFont="1" applyFill="1" applyBorder="1" applyAlignment="1">
      <alignment horizontal="left" vertical="center" shrinkToFit="1"/>
    </xf>
    <xf numFmtId="164" fontId="8" fillId="4" borderId="37" xfId="0" applyNumberFormat="1" applyFont="1" applyFill="1" applyBorder="1" applyAlignment="1">
      <alignment horizontal="center" vertical="center" shrinkToFit="1"/>
    </xf>
    <xf numFmtId="0" fontId="8" fillId="4" borderId="37" xfId="0" applyFont="1" applyFill="1" applyBorder="1" applyAlignment="1">
      <alignment horizontal="left" vertical="center" shrinkToFit="1"/>
    </xf>
    <xf numFmtId="0" fontId="8" fillId="4" borderId="38" xfId="0" applyFont="1" applyFill="1" applyBorder="1" applyAlignment="1">
      <alignment horizontal="left" vertical="center" shrinkToFit="1"/>
    </xf>
    <xf numFmtId="0" fontId="8" fillId="4" borderId="37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167" fontId="8" fillId="4" borderId="37" xfId="2" applyNumberFormat="1" applyFont="1" applyFill="1" applyBorder="1" applyAlignment="1">
      <alignment horizontal="right" vertical="center" shrinkToFit="1"/>
    </xf>
    <xf numFmtId="165" fontId="8" fillId="4" borderId="41" xfId="2" applyNumberFormat="1" applyFont="1" applyFill="1" applyBorder="1" applyAlignment="1">
      <alignment vertical="center" shrinkToFit="1"/>
    </xf>
    <xf numFmtId="166" fontId="4" fillId="0" borderId="40" xfId="2" applyNumberFormat="1" applyFont="1" applyFill="1" applyBorder="1" applyAlignment="1" applyProtection="1">
      <alignment horizontal="right" vertical="center" shrinkToFit="1"/>
    </xf>
    <xf numFmtId="166" fontId="8" fillId="0" borderId="40" xfId="0" applyNumberFormat="1" applyFont="1" applyFill="1" applyBorder="1" applyAlignment="1">
      <alignment vertical="center" shrinkToFit="1"/>
    </xf>
    <xf numFmtId="167" fontId="8" fillId="0" borderId="37" xfId="2" applyNumberFormat="1" applyFont="1" applyFill="1" applyBorder="1" applyAlignment="1" applyProtection="1">
      <alignment vertical="center" shrinkToFit="1"/>
      <protection locked="0"/>
    </xf>
    <xf numFmtId="166" fontId="8" fillId="4" borderId="41" xfId="0" applyNumberFormat="1" applyFont="1" applyFill="1" applyBorder="1" applyAlignment="1">
      <alignment vertical="center" shrinkToFit="1"/>
    </xf>
    <xf numFmtId="168" fontId="8" fillId="4" borderId="42" xfId="0" applyNumberFormat="1" applyFont="1" applyFill="1" applyBorder="1" applyAlignment="1">
      <alignment horizontal="left" vertical="center" shrinkToFit="1"/>
    </xf>
    <xf numFmtId="164" fontId="8" fillId="4" borderId="34" xfId="0" applyNumberFormat="1" applyFont="1" applyFill="1" applyBorder="1" applyAlignment="1">
      <alignment horizontal="center" vertical="center" shrinkToFit="1"/>
    </xf>
    <xf numFmtId="0" fontId="8" fillId="4" borderId="34" xfId="0" applyFont="1" applyFill="1" applyBorder="1" applyAlignment="1">
      <alignment horizontal="left" vertical="center" shrinkToFit="1"/>
    </xf>
    <xf numFmtId="0" fontId="8" fillId="4" borderId="43" xfId="0" applyFont="1" applyFill="1" applyBorder="1" applyAlignment="1">
      <alignment horizontal="left" vertical="center" shrinkToFit="1"/>
    </xf>
    <xf numFmtId="0" fontId="8" fillId="4" borderId="34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167" fontId="8" fillId="4" borderId="34" xfId="2" applyNumberFormat="1" applyFont="1" applyFill="1" applyBorder="1" applyAlignment="1">
      <alignment horizontal="right" vertical="center" shrinkToFit="1"/>
    </xf>
    <xf numFmtId="165" fontId="8" fillId="4" borderId="35" xfId="2" applyNumberFormat="1" applyFont="1" applyFill="1" applyBorder="1" applyAlignment="1">
      <alignment vertical="center" shrinkToFit="1"/>
    </xf>
    <xf numFmtId="166" fontId="4" fillId="0" borderId="33" xfId="2" applyNumberFormat="1" applyFont="1" applyFill="1" applyBorder="1" applyAlignment="1" applyProtection="1">
      <alignment horizontal="right" vertical="center" shrinkToFit="1"/>
    </xf>
    <xf numFmtId="166" fontId="8" fillId="4" borderId="35" xfId="0" applyNumberFormat="1" applyFont="1" applyFill="1" applyBorder="1" applyAlignment="1">
      <alignment vertical="center" shrinkToFit="1"/>
    </xf>
    <xf numFmtId="3" fontId="8" fillId="0" borderId="34" xfId="2" applyNumberFormat="1" applyFont="1" applyFill="1" applyBorder="1" applyAlignment="1" applyProtection="1">
      <alignment horizontal="right" vertical="center" shrinkToFit="1"/>
    </xf>
    <xf numFmtId="168" fontId="8" fillId="4" borderId="52" xfId="0" applyNumberFormat="1" applyFont="1" applyFill="1" applyBorder="1" applyAlignment="1">
      <alignment horizontal="left" vertical="center" shrinkToFit="1"/>
    </xf>
    <xf numFmtId="164" fontId="8" fillId="4" borderId="53" xfId="0" applyNumberFormat="1" applyFont="1" applyFill="1" applyBorder="1" applyAlignment="1">
      <alignment horizontal="center" vertical="center" shrinkToFit="1"/>
    </xf>
    <xf numFmtId="0" fontId="8" fillId="4" borderId="53" xfId="0" applyFont="1" applyFill="1" applyBorder="1" applyAlignment="1">
      <alignment horizontal="left" vertical="center" shrinkToFit="1"/>
    </xf>
    <xf numFmtId="0" fontId="8" fillId="4" borderId="54" xfId="0" applyFont="1" applyFill="1" applyBorder="1" applyAlignment="1">
      <alignment horizontal="left" vertical="center" shrinkToFit="1"/>
    </xf>
    <xf numFmtId="0" fontId="8" fillId="4" borderId="5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166" fontId="4" fillId="3" borderId="33" xfId="2" applyNumberFormat="1" applyFont="1" applyFill="1" applyBorder="1" applyAlignment="1" applyProtection="1">
      <alignment horizontal="right" vertical="center" shrinkToFit="1"/>
    </xf>
    <xf numFmtId="3" fontId="4" fillId="3" borderId="34" xfId="2" applyNumberFormat="1" applyFont="1" applyFill="1" applyBorder="1" applyAlignment="1" applyProtection="1">
      <alignment horizontal="right" vertical="center" shrinkToFit="1"/>
    </xf>
    <xf numFmtId="166" fontId="8" fillId="3" borderId="33" xfId="2" applyNumberFormat="1" applyFont="1" applyFill="1" applyBorder="1" applyAlignment="1" applyProtection="1">
      <alignment horizontal="right" vertical="center" shrinkToFit="1"/>
    </xf>
    <xf numFmtId="167" fontId="8" fillId="3" borderId="34" xfId="2" applyNumberFormat="1" applyFont="1" applyFill="1" applyBorder="1" applyAlignment="1" applyProtection="1">
      <alignment vertical="center" shrinkToFit="1"/>
      <protection locked="0"/>
    </xf>
    <xf numFmtId="0" fontId="8" fillId="0" borderId="53" xfId="0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center" vertical="center" shrinkToFit="1"/>
    </xf>
    <xf numFmtId="166" fontId="4" fillId="3" borderId="50" xfId="2" applyNumberFormat="1" applyFont="1" applyFill="1" applyBorder="1" applyAlignment="1" applyProtection="1">
      <alignment horizontal="right" vertical="center" shrinkToFit="1"/>
    </xf>
    <xf numFmtId="3" fontId="4" fillId="3" borderId="47" xfId="2" applyNumberFormat="1" applyFont="1" applyFill="1" applyBorder="1" applyAlignment="1" applyProtection="1">
      <alignment horizontal="right" vertical="center" shrinkToFit="1"/>
    </xf>
    <xf numFmtId="166" fontId="8" fillId="3" borderId="50" xfId="0" applyNumberFormat="1" applyFont="1" applyFill="1" applyBorder="1" applyAlignment="1">
      <alignment vertical="center" shrinkToFit="1"/>
    </xf>
    <xf numFmtId="167" fontId="8" fillId="3" borderId="47" xfId="2" applyNumberFormat="1" applyFont="1" applyFill="1" applyBorder="1" applyAlignment="1" applyProtection="1">
      <alignment vertical="center" shrinkToFit="1"/>
      <protection locked="0"/>
    </xf>
    <xf numFmtId="0" fontId="5" fillId="0" borderId="56" xfId="0" applyFont="1" applyFill="1" applyBorder="1" applyAlignment="1" applyProtection="1">
      <alignment horizontal="right" vertical="center"/>
    </xf>
    <xf numFmtId="166" fontId="8" fillId="3" borderId="33" xfId="0" applyNumberFormat="1" applyFont="1" applyFill="1" applyBorder="1" applyAlignment="1">
      <alignment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168" fontId="8" fillId="4" borderId="16" xfId="0" applyNumberFormat="1" applyFont="1" applyFill="1" applyBorder="1" applyAlignment="1">
      <alignment horizontal="left" vertical="center" shrinkToFit="1"/>
    </xf>
    <xf numFmtId="164" fontId="8" fillId="4" borderId="17" xfId="0" applyNumberFormat="1" applyFont="1" applyFill="1" applyBorder="1" applyAlignment="1">
      <alignment horizontal="center" vertical="center" shrinkToFit="1"/>
    </xf>
    <xf numFmtId="0" fontId="8" fillId="4" borderId="17" xfId="0" applyFont="1" applyFill="1" applyBorder="1" applyAlignment="1">
      <alignment horizontal="left" vertical="center" shrinkToFit="1"/>
    </xf>
    <xf numFmtId="0" fontId="8" fillId="4" borderId="18" xfId="0" applyFont="1" applyFill="1" applyBorder="1" applyAlignment="1">
      <alignment horizontal="left" vertical="center" shrinkToFit="1"/>
    </xf>
    <xf numFmtId="0" fontId="8" fillId="4" borderId="17" xfId="0" applyFont="1" applyFill="1" applyBorder="1" applyAlignment="1">
      <alignment horizontal="center" vertical="center" shrinkToFit="1"/>
    </xf>
    <xf numFmtId="167" fontId="8" fillId="4" borderId="37" xfId="2" applyNumberFormat="1" applyFont="1" applyFill="1" applyBorder="1" applyAlignment="1">
      <alignment horizontal="right" vertical="center" shrinkToFit="1"/>
    </xf>
    <xf numFmtId="165" fontId="8" fillId="4" borderId="41" xfId="2" applyNumberFormat="1" applyFont="1" applyFill="1" applyBorder="1" applyAlignment="1">
      <alignment vertical="center" shrinkToFit="1"/>
    </xf>
    <xf numFmtId="166" fontId="4" fillId="0" borderId="40" xfId="2" applyNumberFormat="1" applyFont="1" applyFill="1" applyBorder="1" applyAlignment="1" applyProtection="1">
      <alignment horizontal="right" vertical="center" shrinkToFit="1"/>
    </xf>
    <xf numFmtId="166" fontId="8" fillId="0" borderId="40" xfId="0" applyNumberFormat="1" applyFont="1" applyFill="1" applyBorder="1" applyAlignment="1">
      <alignment vertical="center" shrinkToFit="1"/>
    </xf>
    <xf numFmtId="167" fontId="8" fillId="0" borderId="37" xfId="2" applyNumberFormat="1" applyFont="1" applyFill="1" applyBorder="1" applyAlignment="1" applyProtection="1">
      <alignment vertical="center" shrinkToFit="1"/>
      <protection locked="0"/>
    </xf>
    <xf numFmtId="166" fontId="8" fillId="4" borderId="41" xfId="0" applyNumberFormat="1" applyFont="1" applyFill="1" applyBorder="1" applyAlignment="1">
      <alignment vertical="center" shrinkToFit="1"/>
    </xf>
    <xf numFmtId="168" fontId="8" fillId="4" borderId="42" xfId="0" applyNumberFormat="1" applyFont="1" applyFill="1" applyBorder="1" applyAlignment="1">
      <alignment horizontal="left" vertical="center" shrinkToFit="1"/>
    </xf>
    <xf numFmtId="164" fontId="8" fillId="4" borderId="34" xfId="0" applyNumberFormat="1" applyFont="1" applyFill="1" applyBorder="1" applyAlignment="1">
      <alignment horizontal="center" vertical="center" shrinkToFit="1"/>
    </xf>
    <xf numFmtId="0" fontId="8" fillId="4" borderId="34" xfId="0" applyFont="1" applyFill="1" applyBorder="1" applyAlignment="1">
      <alignment horizontal="left" vertical="center" shrinkToFit="1"/>
    </xf>
    <xf numFmtId="0" fontId="8" fillId="4" borderId="43" xfId="0" applyFont="1" applyFill="1" applyBorder="1" applyAlignment="1">
      <alignment horizontal="left" vertical="center" shrinkToFit="1"/>
    </xf>
    <xf numFmtId="0" fontId="8" fillId="4" borderId="34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167" fontId="8" fillId="4" borderId="34" xfId="2" applyNumberFormat="1" applyFont="1" applyFill="1" applyBorder="1" applyAlignment="1">
      <alignment horizontal="right" vertical="center" shrinkToFit="1"/>
    </xf>
    <xf numFmtId="165" fontId="8" fillId="4" borderId="35" xfId="2" applyNumberFormat="1" applyFont="1" applyFill="1" applyBorder="1" applyAlignment="1">
      <alignment vertical="center" shrinkToFit="1"/>
    </xf>
    <xf numFmtId="166" fontId="4" fillId="0" borderId="33" xfId="2" applyNumberFormat="1" applyFont="1" applyFill="1" applyBorder="1" applyAlignment="1" applyProtection="1">
      <alignment horizontal="right" vertical="center" shrinkToFit="1"/>
    </xf>
    <xf numFmtId="166" fontId="8" fillId="0" borderId="33" xfId="0" applyNumberFormat="1" applyFont="1" applyFill="1" applyBorder="1" applyAlignment="1">
      <alignment vertical="center" shrinkToFit="1"/>
    </xf>
    <xf numFmtId="167" fontId="8" fillId="0" borderId="34" xfId="2" applyNumberFormat="1" applyFont="1" applyFill="1" applyBorder="1" applyAlignment="1" applyProtection="1">
      <alignment vertical="center" shrinkToFit="1"/>
      <protection locked="0"/>
    </xf>
    <xf numFmtId="166" fontId="8" fillId="4" borderId="35" xfId="0" applyNumberFormat="1" applyFont="1" applyFill="1" applyBorder="1" applyAlignment="1">
      <alignment vertical="center" shrinkToFit="1"/>
    </xf>
    <xf numFmtId="168" fontId="8" fillId="4" borderId="52" xfId="0" applyNumberFormat="1" applyFont="1" applyFill="1" applyBorder="1" applyAlignment="1">
      <alignment horizontal="left" vertical="center" shrinkToFit="1"/>
    </xf>
    <xf numFmtId="164" fontId="8" fillId="4" borderId="53" xfId="0" applyNumberFormat="1" applyFont="1" applyFill="1" applyBorder="1" applyAlignment="1">
      <alignment horizontal="center" vertical="center" shrinkToFit="1"/>
    </xf>
    <xf numFmtId="0" fontId="8" fillId="4" borderId="53" xfId="0" applyFont="1" applyFill="1" applyBorder="1" applyAlignment="1">
      <alignment horizontal="left" vertical="center" shrinkToFit="1"/>
    </xf>
    <xf numFmtId="0" fontId="8" fillId="4" borderId="54" xfId="0" applyFont="1" applyFill="1" applyBorder="1" applyAlignment="1">
      <alignment horizontal="left" vertical="center" shrinkToFit="1"/>
    </xf>
    <xf numFmtId="0" fontId="8" fillId="4" borderId="53" xfId="0" applyFont="1" applyFill="1" applyBorder="1" applyAlignment="1">
      <alignment horizontal="center" vertical="center" shrinkToFit="1"/>
    </xf>
    <xf numFmtId="0" fontId="8" fillId="0" borderId="53" xfId="0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center" vertical="center" shrinkToFit="1"/>
    </xf>
    <xf numFmtId="165" fontId="5" fillId="0" borderId="5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65" fontId="5" fillId="0" borderId="7" xfId="0" applyNumberFormat="1" applyFont="1" applyFill="1" applyBorder="1" applyAlignment="1" applyProtection="1">
      <alignment horizontal="center" vertical="center" wrapText="1"/>
    </xf>
    <xf numFmtId="165" fontId="5" fillId="0" borderId="6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right" vertical="center" shrinkToFit="1"/>
    </xf>
    <xf numFmtId="0" fontId="10" fillId="0" borderId="23" xfId="0" applyFont="1" applyBorder="1" applyAlignment="1">
      <alignment horizontal="right" vertical="center" shrinkToFit="1"/>
    </xf>
    <xf numFmtId="0" fontId="10" fillId="0" borderId="25" xfId="0" applyFont="1" applyBorder="1" applyAlignment="1">
      <alignment horizontal="right" vertical="center" shrinkToFit="1"/>
    </xf>
    <xf numFmtId="0" fontId="10" fillId="0" borderId="22" xfId="0" applyFont="1" applyBorder="1" applyAlignment="1">
      <alignment horizontal="right" vertical="center" shrinkToFit="1"/>
    </xf>
    <xf numFmtId="2" fontId="3" fillId="0" borderId="23" xfId="0" applyNumberFormat="1" applyFont="1" applyBorder="1" applyAlignment="1">
      <alignment horizontal="center" vertical="center" shrinkToFit="1"/>
    </xf>
    <xf numFmtId="2" fontId="3" fillId="0" borderId="24" xfId="0" applyNumberFormat="1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43" fontId="5" fillId="0" borderId="2" xfId="1" applyFont="1" applyFill="1" applyBorder="1" applyAlignment="1" applyProtection="1">
      <alignment horizontal="center" vertical="center"/>
    </xf>
    <xf numFmtId="43" fontId="5" fillId="0" borderId="27" xfId="1" applyFont="1" applyFill="1" applyBorder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28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29" xfId="0" applyFont="1" applyFill="1" applyBorder="1" applyAlignment="1" applyProtection="1">
      <alignment horizontal="center" vertical="center" wrapText="1"/>
    </xf>
    <xf numFmtId="43" fontId="5" fillId="0" borderId="9" xfId="1" applyFont="1" applyFill="1" applyBorder="1" applyAlignment="1" applyProtection="1">
      <alignment horizontal="center" vertical="center"/>
    </xf>
    <xf numFmtId="164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47625</xdr:colOff>
      <xdr:row>1</xdr:row>
      <xdr:rowOff>57150</xdr:rowOff>
    </xdr:from>
    <xdr:ext cx="1028700" cy="65462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476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abSelected="1"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77" t="s">
        <v>14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34" t="s">
        <v>17</v>
      </c>
      <c r="O2" s="181" t="s">
        <v>90</v>
      </c>
      <c r="P2" s="182"/>
    </row>
    <row r="3" spans="1:18" ht="30.75" customHeight="1" thickBot="1" x14ac:dyDescent="0.3"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35" t="s">
        <v>45</v>
      </c>
      <c r="O3" s="183" t="s">
        <v>91</v>
      </c>
      <c r="P3" s="184"/>
    </row>
    <row r="4" spans="1:18" s="4" customFormat="1" ht="16.5" customHeight="1" x14ac:dyDescent="0.25">
      <c r="A4" s="2"/>
      <c r="B4" s="3"/>
      <c r="C4" s="185" t="s">
        <v>0</v>
      </c>
      <c r="D4" s="187" t="s">
        <v>1</v>
      </c>
      <c r="E4" s="189" t="s">
        <v>2</v>
      </c>
      <c r="F4" s="189" t="s">
        <v>3</v>
      </c>
      <c r="G4" s="191" t="s">
        <v>4</v>
      </c>
      <c r="H4" s="191" t="s">
        <v>5</v>
      </c>
      <c r="I4" s="193" t="s">
        <v>13</v>
      </c>
      <c r="J4" s="172" t="s">
        <v>15</v>
      </c>
      <c r="K4" s="173"/>
      <c r="L4" s="173"/>
      <c r="M4" s="174"/>
      <c r="N4" s="172" t="s">
        <v>16</v>
      </c>
      <c r="O4" s="175"/>
      <c r="P4" s="176"/>
    </row>
    <row r="5" spans="1:18" s="4" customFormat="1" ht="15" customHeight="1" thickBot="1" x14ac:dyDescent="0.3">
      <c r="A5" s="2"/>
      <c r="B5" s="36"/>
      <c r="C5" s="186"/>
      <c r="D5" s="188"/>
      <c r="E5" s="190"/>
      <c r="F5" s="190"/>
      <c r="G5" s="192"/>
      <c r="H5" s="192"/>
      <c r="I5" s="194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89</v>
      </c>
      <c r="D6" s="153">
        <v>41866</v>
      </c>
      <c r="E6" s="154" t="s">
        <v>10</v>
      </c>
      <c r="F6" s="155" t="s">
        <v>11</v>
      </c>
      <c r="G6" s="156">
        <v>31</v>
      </c>
      <c r="H6" s="157">
        <v>48</v>
      </c>
      <c r="I6" s="158">
        <v>2</v>
      </c>
      <c r="J6" s="161">
        <v>120953.88</v>
      </c>
      <c r="K6" s="54">
        <v>11920</v>
      </c>
      <c r="L6" s="159">
        <f t="shared" ref="L6:L19" si="0">K6/H6</f>
        <v>248.33333333333334</v>
      </c>
      <c r="M6" s="160">
        <f t="shared" ref="M6:M19" si="1">+J6/K6</f>
        <v>10.147137583892619</v>
      </c>
      <c r="N6" s="162">
        <f>166393.25+120953.88</f>
        <v>287347.13</v>
      </c>
      <c r="O6" s="163">
        <f>16398+11920</f>
        <v>28318</v>
      </c>
      <c r="P6" s="164">
        <f t="shared" ref="P6:P19" si="2">N6/O6</f>
        <v>10.147154813193023</v>
      </c>
      <c r="Q6" s="126"/>
      <c r="R6" s="26"/>
    </row>
    <row r="7" spans="1:18" s="4" customFormat="1" ht="22.5" customHeight="1" x14ac:dyDescent="0.25">
      <c r="B7" s="79">
        <f t="shared" ref="B7:B19" si="3">B6+1</f>
        <v>2</v>
      </c>
      <c r="C7" s="80" t="s">
        <v>92</v>
      </c>
      <c r="D7" s="81">
        <v>41873</v>
      </c>
      <c r="E7" s="82" t="s">
        <v>10</v>
      </c>
      <c r="F7" s="83" t="s">
        <v>93</v>
      </c>
      <c r="G7" s="84">
        <v>27</v>
      </c>
      <c r="H7" s="85">
        <v>39</v>
      </c>
      <c r="I7" s="86">
        <v>1</v>
      </c>
      <c r="J7" s="87">
        <v>86853.81</v>
      </c>
      <c r="K7" s="88">
        <v>7232</v>
      </c>
      <c r="L7" s="89">
        <f t="shared" ref="L7" si="4">K7/H7</f>
        <v>185.43589743589743</v>
      </c>
      <c r="M7" s="90">
        <f t="shared" ref="M7" si="5">+J7/K7</f>
        <v>12.009652931415928</v>
      </c>
      <c r="N7" s="91">
        <f>86853.81</f>
        <v>86853.81</v>
      </c>
      <c r="O7" s="92">
        <f>7232</f>
        <v>7232</v>
      </c>
      <c r="P7" s="93">
        <f t="shared" ref="P7" si="6">N7/O7</f>
        <v>12.009652931415928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80" t="s">
        <v>81</v>
      </c>
      <c r="D8" s="81">
        <v>41845</v>
      </c>
      <c r="E8" s="82" t="s">
        <v>10</v>
      </c>
      <c r="F8" s="83" t="s">
        <v>10</v>
      </c>
      <c r="G8" s="84">
        <v>23</v>
      </c>
      <c r="H8" s="85">
        <v>24</v>
      </c>
      <c r="I8" s="86">
        <v>5</v>
      </c>
      <c r="J8" s="87">
        <v>22258.560000000001</v>
      </c>
      <c r="K8" s="88">
        <v>2518</v>
      </c>
      <c r="L8" s="89">
        <f t="shared" si="0"/>
        <v>104.91666666666667</v>
      </c>
      <c r="M8" s="90">
        <f t="shared" si="1"/>
        <v>8.8397776012708498</v>
      </c>
      <c r="N8" s="91">
        <f>73428.48+65677.81+40435.99+20437+22258.56</f>
        <v>222237.83999999997</v>
      </c>
      <c r="O8" s="92">
        <f>7463+6959+4805+2294+2518</f>
        <v>24039</v>
      </c>
      <c r="P8" s="93">
        <f t="shared" si="2"/>
        <v>9.244887058529887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77</v>
      </c>
      <c r="D9" s="166">
        <v>41838</v>
      </c>
      <c r="E9" s="167" t="s">
        <v>10</v>
      </c>
      <c r="F9" s="168" t="s">
        <v>10</v>
      </c>
      <c r="G9" s="169">
        <v>20</v>
      </c>
      <c r="H9" s="85">
        <v>9</v>
      </c>
      <c r="I9" s="86">
        <v>6</v>
      </c>
      <c r="J9" s="87">
        <v>8229.1</v>
      </c>
      <c r="K9" s="88">
        <v>769</v>
      </c>
      <c r="L9" s="89">
        <f t="shared" si="0"/>
        <v>85.444444444444443</v>
      </c>
      <c r="M9" s="90">
        <f t="shared" si="1"/>
        <v>10.701040312093628</v>
      </c>
      <c r="N9" s="91">
        <f>83413.21+31376.4+14831.5+9913.12+11734.5+8229.1</f>
        <v>159497.83000000002</v>
      </c>
      <c r="O9" s="92">
        <f>6309+2343+1168+899+1487+769</f>
        <v>12975</v>
      </c>
      <c r="P9" s="93">
        <f t="shared" si="2"/>
        <v>12.292703660886321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56</v>
      </c>
      <c r="D10" s="166">
        <v>41782</v>
      </c>
      <c r="E10" s="167" t="s">
        <v>10</v>
      </c>
      <c r="F10" s="168" t="s">
        <v>10</v>
      </c>
      <c r="G10" s="169">
        <v>30</v>
      </c>
      <c r="H10" s="170">
        <v>11</v>
      </c>
      <c r="I10" s="171">
        <v>14</v>
      </c>
      <c r="J10" s="87">
        <v>7400.64</v>
      </c>
      <c r="K10" s="88">
        <v>926</v>
      </c>
      <c r="L10" s="89">
        <f>K10/H10</f>
        <v>84.181818181818187</v>
      </c>
      <c r="M10" s="90">
        <f>+J10/K10</f>
        <v>7.9920518358531325</v>
      </c>
      <c r="N10" s="91">
        <f>95967.35+76227.39+34644.5+27256+29590.5+12797.63+9801.17+8948.5+7152.5+16352.94+12150.29+7448.1+8486.06+7400.64</f>
        <v>354223.56999999995</v>
      </c>
      <c r="O10" s="92">
        <f>9552+7384+3615+3071+3349+1439+1120+971+812+1886+1381+880+989+926</f>
        <v>37375</v>
      </c>
      <c r="P10" s="93">
        <f>N10/O10</f>
        <v>9.477553712374581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48</v>
      </c>
      <c r="D11" s="166">
        <v>41768</v>
      </c>
      <c r="E11" s="167" t="s">
        <v>10</v>
      </c>
      <c r="F11" s="168" t="s">
        <v>10</v>
      </c>
      <c r="G11" s="169">
        <v>22</v>
      </c>
      <c r="H11" s="170">
        <v>11</v>
      </c>
      <c r="I11" s="171">
        <v>16</v>
      </c>
      <c r="J11" s="87">
        <v>4982.59</v>
      </c>
      <c r="K11" s="88">
        <v>589</v>
      </c>
      <c r="L11" s="89">
        <f>K11/H11</f>
        <v>53.545454545454547</v>
      </c>
      <c r="M11" s="90">
        <f>+J11/K11</f>
        <v>8.4594057724957565</v>
      </c>
      <c r="N11" s="91">
        <f>96037.16+42293.76+11136.86+17605+22297.3+19062.27+11022+8010+7779.86+6062+4890+6980.36+5587.98+5298.38+4452.73+4982.59</f>
        <v>273498.25</v>
      </c>
      <c r="O11" s="92">
        <f>9852+4309+1246+1999+2461+2258+1374+975+960+792+668+1048+872+672+610+589</f>
        <v>30685</v>
      </c>
      <c r="P11" s="93">
        <f>N11/O11</f>
        <v>8.9130927163109011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36</v>
      </c>
      <c r="D12" s="166">
        <v>41740</v>
      </c>
      <c r="E12" s="167" t="s">
        <v>10</v>
      </c>
      <c r="F12" s="168" t="s">
        <v>10</v>
      </c>
      <c r="G12" s="169">
        <v>26</v>
      </c>
      <c r="H12" s="170">
        <v>8</v>
      </c>
      <c r="I12" s="171">
        <v>20</v>
      </c>
      <c r="J12" s="87">
        <v>4864</v>
      </c>
      <c r="K12" s="88">
        <v>667</v>
      </c>
      <c r="L12" s="89">
        <f t="shared" si="0"/>
        <v>83.375</v>
      </c>
      <c r="M12" s="90">
        <f t="shared" si="1"/>
        <v>7.2923538230884555</v>
      </c>
      <c r="N12" s="91">
        <f>125801.67+108052.78+37084.43+23601.43+21068.8+18394.5+13443.32+12736+17919.5+14888+14213.5+9410.5+7303.5+7446+7472+17657+7321+5398.5+4749+4864</f>
        <v>478825.43</v>
      </c>
      <c r="O12" s="92">
        <f>12315+10389+3812+2521+2588+2117+1563+1524+2098+1705+1607+1075+924+1045+1011+2258+951+720+650+667</f>
        <v>51540</v>
      </c>
      <c r="P12" s="93">
        <f t="shared" si="2"/>
        <v>9.2903653473030658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61</v>
      </c>
      <c r="D13" s="166">
        <v>41796</v>
      </c>
      <c r="E13" s="167" t="s">
        <v>10</v>
      </c>
      <c r="F13" s="168" t="s">
        <v>10</v>
      </c>
      <c r="G13" s="169">
        <v>22</v>
      </c>
      <c r="H13" s="85">
        <v>8</v>
      </c>
      <c r="I13" s="86">
        <v>12</v>
      </c>
      <c r="J13" s="87">
        <v>4785.4399999999996</v>
      </c>
      <c r="K13" s="88">
        <v>603</v>
      </c>
      <c r="L13" s="89">
        <f>K13/H13</f>
        <v>75.375</v>
      </c>
      <c r="M13" s="90">
        <f>+J13/K13</f>
        <v>7.9360530679933659</v>
      </c>
      <c r="N13" s="91">
        <f>166025.28+97326.52+57686.96+13701.5+11079.5+6936+18694.5+12272.5+7080.5+9304+8779+4785.44</f>
        <v>413671.7</v>
      </c>
      <c r="O13" s="92">
        <f>15114+9515+5786+1430+1181+648+1199+1400+830+999+900+603</f>
        <v>39605</v>
      </c>
      <c r="P13" s="93">
        <f>N13/O13</f>
        <v>10.444936245423557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74</v>
      </c>
      <c r="D14" s="166">
        <v>41831</v>
      </c>
      <c r="E14" s="167" t="s">
        <v>10</v>
      </c>
      <c r="F14" s="168" t="s">
        <v>75</v>
      </c>
      <c r="G14" s="169">
        <v>35</v>
      </c>
      <c r="H14" s="85">
        <v>12</v>
      </c>
      <c r="I14" s="86">
        <v>7</v>
      </c>
      <c r="J14" s="87">
        <v>4557.5</v>
      </c>
      <c r="K14" s="88">
        <v>545</v>
      </c>
      <c r="L14" s="89">
        <f>K14/H14</f>
        <v>45.416666666666664</v>
      </c>
      <c r="M14" s="90">
        <f>+J14/K14</f>
        <v>8.362385321100918</v>
      </c>
      <c r="N14" s="91">
        <f>204425.4+130339.21+47866.4+41040.53+24854.45+10673+4557.5</f>
        <v>463756.49000000005</v>
      </c>
      <c r="O14" s="92">
        <f>19421+12650+4370+3566+2047+958+545</f>
        <v>43557</v>
      </c>
      <c r="P14" s="93">
        <f>N14/O14</f>
        <v>10.647117340496361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65" t="s">
        <v>84</v>
      </c>
      <c r="D15" s="166">
        <v>41852</v>
      </c>
      <c r="E15" s="167" t="s">
        <v>10</v>
      </c>
      <c r="F15" s="168" t="s">
        <v>11</v>
      </c>
      <c r="G15" s="169">
        <v>9</v>
      </c>
      <c r="H15" s="170">
        <v>2</v>
      </c>
      <c r="I15" s="171">
        <v>4</v>
      </c>
      <c r="J15" s="87">
        <v>4056.5</v>
      </c>
      <c r="K15" s="88">
        <v>774</v>
      </c>
      <c r="L15" s="89">
        <f>K15/H15</f>
        <v>387</v>
      </c>
      <c r="M15" s="90">
        <f>+J15/K15</f>
        <v>5.2409560723514215</v>
      </c>
      <c r="N15" s="91">
        <f>92729.6+41511.8+4266+4056.5</f>
        <v>142563.90000000002</v>
      </c>
      <c r="O15" s="92">
        <f>6247+3126+257+774</f>
        <v>10404</v>
      </c>
      <c r="P15" s="93">
        <f>N15/O15</f>
        <v>13.702797001153405</v>
      </c>
      <c r="Q15" s="126"/>
      <c r="R15" s="26"/>
    </row>
    <row r="16" spans="1:18" s="4" customFormat="1" ht="22.5" customHeight="1" x14ac:dyDescent="0.25">
      <c r="B16" s="79">
        <f t="shared" si="3"/>
        <v>11</v>
      </c>
      <c r="C16" s="165" t="s">
        <v>70</v>
      </c>
      <c r="D16" s="166">
        <v>41824</v>
      </c>
      <c r="E16" s="167" t="s">
        <v>10</v>
      </c>
      <c r="F16" s="168" t="s">
        <v>71</v>
      </c>
      <c r="G16" s="169">
        <v>32</v>
      </c>
      <c r="H16" s="170">
        <v>16</v>
      </c>
      <c r="I16" s="171">
        <v>8</v>
      </c>
      <c r="J16" s="87">
        <v>3243</v>
      </c>
      <c r="K16" s="88">
        <v>539</v>
      </c>
      <c r="L16" s="89">
        <f t="shared" si="0"/>
        <v>33.6875</v>
      </c>
      <c r="M16" s="90">
        <f t="shared" si="1"/>
        <v>6.01669758812616</v>
      </c>
      <c r="N16" s="91">
        <f>32706.88+12882.41+6333.12+6483.62+4511.26+5741+4355+3243</f>
        <v>76256.290000000008</v>
      </c>
      <c r="O16" s="92">
        <f>3102+1318+704+809+562+700+596+539</f>
        <v>8330</v>
      </c>
      <c r="P16" s="93">
        <f t="shared" si="2"/>
        <v>9.1544165666266508</v>
      </c>
      <c r="Q16" s="126"/>
      <c r="R16" s="26"/>
    </row>
    <row r="17" spans="2:18" s="4" customFormat="1" ht="22.5" customHeight="1" x14ac:dyDescent="0.25">
      <c r="B17" s="79">
        <f t="shared" si="3"/>
        <v>12</v>
      </c>
      <c r="C17" s="165" t="s">
        <v>33</v>
      </c>
      <c r="D17" s="166">
        <v>41726</v>
      </c>
      <c r="E17" s="167" t="s">
        <v>10</v>
      </c>
      <c r="F17" s="168" t="s">
        <v>10</v>
      </c>
      <c r="G17" s="169">
        <v>39</v>
      </c>
      <c r="H17" s="170">
        <v>4</v>
      </c>
      <c r="I17" s="171">
        <v>22</v>
      </c>
      <c r="J17" s="87">
        <v>1757.71</v>
      </c>
      <c r="K17" s="88">
        <v>213</v>
      </c>
      <c r="L17" s="89">
        <f>K17/H17</f>
        <v>53.25</v>
      </c>
      <c r="M17" s="90">
        <f>+J17/K17</f>
        <v>8.2521596244131459</v>
      </c>
      <c r="N17" s="91">
        <f>231174.62+62282.23+5309.5+9347+8300+7582.5+7225.5+4781+2621+6241.6+5123+2544+2933+2417+1413+2523+1985.5+731+642+1635.49+1316.75+1757.71</f>
        <v>369886.39999999997</v>
      </c>
      <c r="O17" s="92">
        <f>20693+5291+479+930+887+837+776+691+255+784+638+378+427+336+199+316+233+78+70+184+149+213</f>
        <v>34844</v>
      </c>
      <c r="P17" s="93">
        <f>N17/O17</f>
        <v>10.615497646653655</v>
      </c>
      <c r="Q17" s="126"/>
      <c r="R17" s="26"/>
    </row>
    <row r="18" spans="2:18" s="4" customFormat="1" ht="22.5" customHeight="1" x14ac:dyDescent="0.25">
      <c r="B18" s="79">
        <f t="shared" si="3"/>
        <v>13</v>
      </c>
      <c r="C18" s="165" t="s">
        <v>9</v>
      </c>
      <c r="D18" s="166">
        <v>41684</v>
      </c>
      <c r="E18" s="167" t="s">
        <v>10</v>
      </c>
      <c r="F18" s="168" t="s">
        <v>11</v>
      </c>
      <c r="G18" s="169">
        <v>76</v>
      </c>
      <c r="H18" s="170">
        <v>1</v>
      </c>
      <c r="I18" s="171">
        <v>28</v>
      </c>
      <c r="J18" s="87">
        <v>500</v>
      </c>
      <c r="K18" s="88">
        <v>36</v>
      </c>
      <c r="L18" s="89">
        <f>K18/H18</f>
        <v>36</v>
      </c>
      <c r="M18" s="90">
        <f>+J18/K18</f>
        <v>13.888888888888889</v>
      </c>
      <c r="N18" s="91">
        <f>457084.63+194296.68+44137.17+13030+7400.5+9372.51+21985.7+8798+6823.5+11928.5+9039+10315.86+4561.58+5322+1536+3683.5+5700.5+7282+6570+2758+312+298+393+745+505+2118+290+500</f>
        <v>836786.63</v>
      </c>
      <c r="O18" s="92">
        <f>48529+19857+4845+1742+907+1325+3002+1302+917+1510+1343+1395+656+665+188+409+660+841+730+277+37+74+79+51+41+317+21+36</f>
        <v>91756</v>
      </c>
      <c r="P18" s="93">
        <f>N18/O18</f>
        <v>9.1196938619817782</v>
      </c>
      <c r="Q18" s="126"/>
      <c r="R18" s="26"/>
    </row>
    <row r="19" spans="2:18" s="4" customFormat="1" ht="22.5" customHeight="1" thickBot="1" x14ac:dyDescent="0.3">
      <c r="B19" s="11">
        <f t="shared" si="3"/>
        <v>14</v>
      </c>
      <c r="C19" s="141" t="s">
        <v>41</v>
      </c>
      <c r="D19" s="142">
        <v>41747</v>
      </c>
      <c r="E19" s="143" t="s">
        <v>10</v>
      </c>
      <c r="F19" s="144" t="s">
        <v>10</v>
      </c>
      <c r="G19" s="145">
        <v>27</v>
      </c>
      <c r="H19" s="139">
        <v>1</v>
      </c>
      <c r="I19" s="140">
        <v>19</v>
      </c>
      <c r="J19" s="148">
        <v>84.5</v>
      </c>
      <c r="K19" s="66">
        <v>13</v>
      </c>
      <c r="L19" s="146">
        <f t="shared" si="0"/>
        <v>13</v>
      </c>
      <c r="M19" s="147">
        <f t="shared" si="1"/>
        <v>6.5</v>
      </c>
      <c r="N19" s="149">
        <f>186153.66+73200.86+7974.97+3137.5+2235.5+2569.5+1951+3923.5+2028.5+2570+1951+851+280.5+1284+387.5+714.5+19.5+377+84.5</f>
        <v>291694.49</v>
      </c>
      <c r="O19" s="150">
        <f>17828+6634+897+384+272+355+277+539+259+316+258+106+40+183+51+100+3+58+13</f>
        <v>28573</v>
      </c>
      <c r="P19" s="151">
        <f t="shared" si="2"/>
        <v>10.208745668988206</v>
      </c>
      <c r="Q19" s="126"/>
      <c r="R19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9" unlocked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77" t="s">
        <v>14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34" t="s">
        <v>17</v>
      </c>
      <c r="O2" s="181" t="s">
        <v>64</v>
      </c>
      <c r="P2" s="182"/>
    </row>
    <row r="3" spans="1:18" ht="30.75" customHeight="1" thickBot="1" x14ac:dyDescent="0.3"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35" t="s">
        <v>45</v>
      </c>
      <c r="O3" s="183" t="s">
        <v>65</v>
      </c>
      <c r="P3" s="184"/>
    </row>
    <row r="4" spans="1:18" s="4" customFormat="1" ht="16.5" customHeight="1" x14ac:dyDescent="0.25">
      <c r="A4" s="2"/>
      <c r="B4" s="3"/>
      <c r="C4" s="185" t="s">
        <v>0</v>
      </c>
      <c r="D4" s="187" t="s">
        <v>1</v>
      </c>
      <c r="E4" s="189" t="s">
        <v>2</v>
      </c>
      <c r="F4" s="189" t="s">
        <v>3</v>
      </c>
      <c r="G4" s="191" t="s">
        <v>4</v>
      </c>
      <c r="H4" s="191" t="s">
        <v>5</v>
      </c>
      <c r="I4" s="193" t="s">
        <v>13</v>
      </c>
      <c r="J4" s="172" t="s">
        <v>15</v>
      </c>
      <c r="K4" s="173"/>
      <c r="L4" s="173"/>
      <c r="M4" s="174"/>
      <c r="N4" s="172" t="s">
        <v>16</v>
      </c>
      <c r="O4" s="175"/>
      <c r="P4" s="176"/>
    </row>
    <row r="5" spans="1:18" s="4" customFormat="1" ht="12.75" thickBot="1" x14ac:dyDescent="0.3">
      <c r="A5" s="2"/>
      <c r="B5" s="36"/>
      <c r="C5" s="186"/>
      <c r="D5" s="188"/>
      <c r="E5" s="190"/>
      <c r="F5" s="190"/>
      <c r="G5" s="192"/>
      <c r="H5" s="192"/>
      <c r="I5" s="194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61</v>
      </c>
      <c r="D6" s="109">
        <v>41796</v>
      </c>
      <c r="E6" s="110" t="s">
        <v>10</v>
      </c>
      <c r="F6" s="111" t="s">
        <v>10</v>
      </c>
      <c r="G6" s="112">
        <v>22</v>
      </c>
      <c r="H6" s="113">
        <v>32</v>
      </c>
      <c r="I6" s="114">
        <v>3</v>
      </c>
      <c r="J6" s="117">
        <v>57686.96</v>
      </c>
      <c r="K6" s="54">
        <v>5786</v>
      </c>
      <c r="L6" s="115">
        <f t="shared" ref="L6:L10" si="0">K6/H6</f>
        <v>180.8125</v>
      </c>
      <c r="M6" s="116">
        <f t="shared" ref="M6:M10" si="1">+J6/K6</f>
        <v>9.9700933287245075</v>
      </c>
      <c r="N6" s="94">
        <f>166025.28+97326.52+57686.96</f>
        <v>321038.76</v>
      </c>
      <c r="O6" s="56">
        <f>15114+9515+5786</f>
        <v>30415</v>
      </c>
      <c r="P6" s="118">
        <f t="shared" ref="P6:P10" si="2">N6/O6</f>
        <v>10.555277330264673</v>
      </c>
      <c r="Q6" s="126"/>
      <c r="R6" s="26"/>
    </row>
    <row r="7" spans="1:18" s="4" customFormat="1" ht="24" customHeight="1" x14ac:dyDescent="0.25">
      <c r="B7" s="79">
        <f t="shared" ref="B7:B14" si="3">B6+1</f>
        <v>2</v>
      </c>
      <c r="C7" s="120" t="s">
        <v>56</v>
      </c>
      <c r="D7" s="121">
        <v>41782</v>
      </c>
      <c r="E7" s="122" t="s">
        <v>10</v>
      </c>
      <c r="F7" s="123" t="s">
        <v>10</v>
      </c>
      <c r="G7" s="124">
        <v>30</v>
      </c>
      <c r="H7" s="131">
        <v>17</v>
      </c>
      <c r="I7" s="132">
        <v>5</v>
      </c>
      <c r="J7" s="87">
        <v>29590.5</v>
      </c>
      <c r="K7" s="88">
        <v>3349</v>
      </c>
      <c r="L7" s="89">
        <f>K7/H7</f>
        <v>197</v>
      </c>
      <c r="M7" s="90">
        <f>+J7/K7</f>
        <v>8.8356225739026577</v>
      </c>
      <c r="N7" s="91">
        <f>95967.35+76227.39+34644.5+27256+29590.5</f>
        <v>263685.74</v>
      </c>
      <c r="O7" s="92">
        <f>9552+7384+3615+3071+3349</f>
        <v>26971</v>
      </c>
      <c r="P7" s="93">
        <f>N7/O7</f>
        <v>9.7766393533795561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36</v>
      </c>
      <c r="D8" s="121">
        <v>41740</v>
      </c>
      <c r="E8" s="122" t="s">
        <v>10</v>
      </c>
      <c r="F8" s="123" t="s">
        <v>10</v>
      </c>
      <c r="G8" s="124">
        <v>26</v>
      </c>
      <c r="H8" s="131">
        <v>15</v>
      </c>
      <c r="I8" s="132">
        <v>11</v>
      </c>
      <c r="J8" s="87">
        <v>14213.5</v>
      </c>
      <c r="K8" s="88">
        <v>1607</v>
      </c>
      <c r="L8" s="89">
        <f>K8/H8</f>
        <v>107.13333333333334</v>
      </c>
      <c r="M8" s="90">
        <f>+J8/K8</f>
        <v>8.8447417548226515</v>
      </c>
      <c r="N8" s="91">
        <f>125801.67+108052.78+37084.43+23601.43+21068.8+18394.5+13443.32+12736+17919.5+14888+14213.5</f>
        <v>407203.93</v>
      </c>
      <c r="O8" s="92">
        <f>12315+10389+3812+2521+2588+2117+1563+1524+2098+1705+1607</f>
        <v>42239</v>
      </c>
      <c r="P8" s="93">
        <f>N8/O8</f>
        <v>9.6404727858140582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48</v>
      </c>
      <c r="D9" s="121">
        <v>41768</v>
      </c>
      <c r="E9" s="122" t="s">
        <v>10</v>
      </c>
      <c r="F9" s="123" t="s">
        <v>10</v>
      </c>
      <c r="G9" s="124">
        <v>22</v>
      </c>
      <c r="H9" s="131">
        <v>16</v>
      </c>
      <c r="I9" s="132">
        <v>7</v>
      </c>
      <c r="J9" s="87">
        <v>11022</v>
      </c>
      <c r="K9" s="88">
        <v>1374</v>
      </c>
      <c r="L9" s="89">
        <f t="shared" si="0"/>
        <v>85.875</v>
      </c>
      <c r="M9" s="90">
        <f t="shared" si="1"/>
        <v>8.0218340611353707</v>
      </c>
      <c r="N9" s="91">
        <f>96037.16+42293.76+11136.86+17605+22297.3+19062.27+11022</f>
        <v>219454.35</v>
      </c>
      <c r="O9" s="92">
        <f>9852+4309+1246+1999+2461+2258+1374</f>
        <v>23499</v>
      </c>
      <c r="P9" s="93">
        <f t="shared" si="2"/>
        <v>9.3388803778884206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9</v>
      </c>
      <c r="D10" s="121">
        <v>41684</v>
      </c>
      <c r="E10" s="122" t="s">
        <v>10</v>
      </c>
      <c r="F10" s="123" t="s">
        <v>11</v>
      </c>
      <c r="G10" s="124">
        <v>76</v>
      </c>
      <c r="H10" s="131">
        <v>8</v>
      </c>
      <c r="I10" s="132">
        <v>19</v>
      </c>
      <c r="J10" s="87">
        <v>6570</v>
      </c>
      <c r="K10" s="88">
        <v>730</v>
      </c>
      <c r="L10" s="89">
        <f t="shared" si="0"/>
        <v>91.25</v>
      </c>
      <c r="M10" s="90">
        <f t="shared" si="1"/>
        <v>9</v>
      </c>
      <c r="N10" s="91">
        <f>457084.63+194296.68+44137.17+13030+7400.5+9372.51+21985.7+8798+6823.5+11928.5+9039+10315.86+4561.58+5322+1536+3683.5+5700.5+7282+6570</f>
        <v>828867.63</v>
      </c>
      <c r="O10" s="92">
        <f>48529+19857+4845+1742+907+1325+3002+1302+917+1510+1343+1395+656+665+188+409+660+841+730</f>
        <v>90823</v>
      </c>
      <c r="P10" s="93">
        <f t="shared" si="2"/>
        <v>9.1261864285478342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33</v>
      </c>
      <c r="D11" s="121">
        <v>41726</v>
      </c>
      <c r="E11" s="122" t="s">
        <v>10</v>
      </c>
      <c r="F11" s="123" t="s">
        <v>10</v>
      </c>
      <c r="G11" s="124">
        <v>39</v>
      </c>
      <c r="H11" s="131">
        <v>9</v>
      </c>
      <c r="I11" s="132">
        <v>13</v>
      </c>
      <c r="J11" s="87">
        <v>2933</v>
      </c>
      <c r="K11" s="88">
        <v>427</v>
      </c>
      <c r="L11" s="89">
        <f>K11/H11</f>
        <v>47.444444444444443</v>
      </c>
      <c r="M11" s="90">
        <f>+J11/K11</f>
        <v>6.8688524590163933</v>
      </c>
      <c r="N11" s="91">
        <f>231174.62+62282.23+5309.5+9347+8300+7582.5+7225.5+4781+2621+6241.6+5123+2544+2933</f>
        <v>355464.94999999995</v>
      </c>
      <c r="O11" s="92">
        <f>20693+5291+479+930+887+837+776+691+255+784+638+378+427</f>
        <v>33066</v>
      </c>
      <c r="P11" s="93">
        <f>N11/O11</f>
        <v>10.750164821871408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41</v>
      </c>
      <c r="D12" s="121">
        <v>41747</v>
      </c>
      <c r="E12" s="122" t="s">
        <v>10</v>
      </c>
      <c r="F12" s="123" t="s">
        <v>10</v>
      </c>
      <c r="G12" s="124">
        <v>27</v>
      </c>
      <c r="H12" s="131">
        <v>8</v>
      </c>
      <c r="I12" s="132">
        <v>10</v>
      </c>
      <c r="J12" s="87">
        <v>2570</v>
      </c>
      <c r="K12" s="88">
        <v>316</v>
      </c>
      <c r="L12" s="89">
        <f>K12/H12</f>
        <v>39.5</v>
      </c>
      <c r="M12" s="90">
        <f>+J12/K12</f>
        <v>8.1329113924050631</v>
      </c>
      <c r="N12" s="91">
        <f>186153.66+73200.86+7974.97+3137.5+2235.5+2569.5+1951+3923.5+2028.5+2570</f>
        <v>285744.99</v>
      </c>
      <c r="O12" s="92">
        <f>17828+6634+897+384+272+355+277+539+259+316</f>
        <v>27761</v>
      </c>
      <c r="P12" s="93">
        <f>N12/O12</f>
        <v>10.293036634127013</v>
      </c>
      <c r="Q12" s="126"/>
      <c r="R12" s="26"/>
    </row>
    <row r="13" spans="1:18" s="4" customFormat="1" ht="24" customHeight="1" x14ac:dyDescent="0.25">
      <c r="B13" s="79">
        <f t="shared" si="3"/>
        <v>8</v>
      </c>
      <c r="C13" s="120" t="s">
        <v>44</v>
      </c>
      <c r="D13" s="121">
        <v>41754</v>
      </c>
      <c r="E13" s="122" t="s">
        <v>10</v>
      </c>
      <c r="F13" s="123" t="s">
        <v>10</v>
      </c>
      <c r="G13" s="124">
        <v>7</v>
      </c>
      <c r="H13" s="131">
        <v>4</v>
      </c>
      <c r="I13" s="132">
        <v>8</v>
      </c>
      <c r="J13" s="87">
        <v>1531.5</v>
      </c>
      <c r="K13" s="88">
        <v>196</v>
      </c>
      <c r="L13" s="89">
        <f>K13/H13</f>
        <v>49</v>
      </c>
      <c r="M13" s="90">
        <f>+J13/K13</f>
        <v>7.8137755102040813</v>
      </c>
      <c r="N13" s="91">
        <f>60197.59+17202+321+844+1811.5+1331+5171+1531.5</f>
        <v>88409.59</v>
      </c>
      <c r="O13" s="92">
        <f>5024+1383+28+122+244+160+605+196</f>
        <v>7762</v>
      </c>
      <c r="P13" s="93">
        <f>N13/O13</f>
        <v>11.390052821437774</v>
      </c>
      <c r="Q13" s="126"/>
      <c r="R13" s="26"/>
    </row>
    <row r="14" spans="1:18" s="4" customFormat="1" ht="24" customHeight="1" thickBot="1" x14ac:dyDescent="0.3">
      <c r="B14" s="11">
        <f t="shared" si="3"/>
        <v>9</v>
      </c>
      <c r="C14" s="37" t="s">
        <v>53</v>
      </c>
      <c r="D14" s="38">
        <v>41775</v>
      </c>
      <c r="E14" s="39" t="s">
        <v>10</v>
      </c>
      <c r="F14" s="40" t="s">
        <v>10</v>
      </c>
      <c r="G14" s="41">
        <v>10</v>
      </c>
      <c r="H14" s="16">
        <v>1</v>
      </c>
      <c r="I14" s="17">
        <v>4</v>
      </c>
      <c r="J14" s="104">
        <v>14</v>
      </c>
      <c r="K14" s="66">
        <v>2</v>
      </c>
      <c r="L14" s="102">
        <f>K14/H14</f>
        <v>2</v>
      </c>
      <c r="M14" s="103">
        <f>+J14/K14</f>
        <v>7</v>
      </c>
      <c r="N14" s="105">
        <f>69932.94+14</f>
        <v>69946.94</v>
      </c>
      <c r="O14" s="106">
        <f>5930+2</f>
        <v>5932</v>
      </c>
      <c r="P14" s="107">
        <f>N14/O14</f>
        <v>11.79145987862441</v>
      </c>
      <c r="Q14" s="126"/>
      <c r="R14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7 O13 O14 O9:O10 O8 O11:O12" unlocked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77" t="s">
        <v>14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34" t="s">
        <v>17</v>
      </c>
      <c r="O2" s="181" t="s">
        <v>62</v>
      </c>
      <c r="P2" s="182"/>
    </row>
    <row r="3" spans="1:18" ht="30.75" customHeight="1" thickBot="1" x14ac:dyDescent="0.3"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35" t="s">
        <v>45</v>
      </c>
      <c r="O3" s="183" t="s">
        <v>63</v>
      </c>
      <c r="P3" s="184"/>
    </row>
    <row r="4" spans="1:18" s="4" customFormat="1" ht="16.5" customHeight="1" x14ac:dyDescent="0.25">
      <c r="A4" s="2"/>
      <c r="B4" s="3"/>
      <c r="C4" s="185" t="s">
        <v>0</v>
      </c>
      <c r="D4" s="187" t="s">
        <v>1</v>
      </c>
      <c r="E4" s="189" t="s">
        <v>2</v>
      </c>
      <c r="F4" s="189" t="s">
        <v>3</v>
      </c>
      <c r="G4" s="191" t="s">
        <v>4</v>
      </c>
      <c r="H4" s="191" t="s">
        <v>5</v>
      </c>
      <c r="I4" s="193" t="s">
        <v>13</v>
      </c>
      <c r="J4" s="172" t="s">
        <v>15</v>
      </c>
      <c r="K4" s="173"/>
      <c r="L4" s="173"/>
      <c r="M4" s="174"/>
      <c r="N4" s="172" t="s">
        <v>16</v>
      </c>
      <c r="O4" s="175"/>
      <c r="P4" s="176"/>
    </row>
    <row r="5" spans="1:18" s="4" customFormat="1" ht="12.75" thickBot="1" x14ac:dyDescent="0.3">
      <c r="A5" s="2"/>
      <c r="B5" s="36"/>
      <c r="C5" s="186"/>
      <c r="D5" s="188"/>
      <c r="E5" s="190"/>
      <c r="F5" s="190"/>
      <c r="G5" s="192"/>
      <c r="H5" s="192"/>
      <c r="I5" s="194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61</v>
      </c>
      <c r="D6" s="109">
        <v>41796</v>
      </c>
      <c r="E6" s="110" t="s">
        <v>10</v>
      </c>
      <c r="F6" s="111" t="s">
        <v>10</v>
      </c>
      <c r="G6" s="112">
        <v>22</v>
      </c>
      <c r="H6" s="113">
        <v>47</v>
      </c>
      <c r="I6" s="114">
        <v>2</v>
      </c>
      <c r="J6" s="117">
        <v>97326.52</v>
      </c>
      <c r="K6" s="54">
        <v>9515</v>
      </c>
      <c r="L6" s="115">
        <f t="shared" ref="L6:L10" si="0">K6/H6</f>
        <v>202.44680851063831</v>
      </c>
      <c r="M6" s="116">
        <f t="shared" ref="M6:M10" si="1">+J6/K6</f>
        <v>10.228746190225959</v>
      </c>
      <c r="N6" s="94">
        <f>166025.28+97326.52</f>
        <v>263351.8</v>
      </c>
      <c r="O6" s="56">
        <f>15114+9515</f>
        <v>24629</v>
      </c>
      <c r="P6" s="118">
        <f t="shared" ref="P6:P10" si="2">N6/O6</f>
        <v>10.692752446303139</v>
      </c>
      <c r="Q6" s="126"/>
      <c r="R6" s="26"/>
    </row>
    <row r="7" spans="1:18" s="4" customFormat="1" ht="24" customHeight="1" x14ac:dyDescent="0.25">
      <c r="B7" s="79">
        <f t="shared" ref="B7:B13" si="3">B6+1</f>
        <v>2</v>
      </c>
      <c r="C7" s="120" t="s">
        <v>56</v>
      </c>
      <c r="D7" s="121">
        <v>41782</v>
      </c>
      <c r="E7" s="122" t="s">
        <v>10</v>
      </c>
      <c r="F7" s="123" t="s">
        <v>10</v>
      </c>
      <c r="G7" s="124">
        <v>30</v>
      </c>
      <c r="H7" s="131">
        <v>17</v>
      </c>
      <c r="I7" s="132">
        <v>4</v>
      </c>
      <c r="J7" s="87">
        <v>27256</v>
      </c>
      <c r="K7" s="88">
        <v>3071</v>
      </c>
      <c r="L7" s="89">
        <f>K7/H7</f>
        <v>180.64705882352942</v>
      </c>
      <c r="M7" s="90">
        <f>+J7/K7</f>
        <v>8.8752849234776949</v>
      </c>
      <c r="N7" s="91">
        <f>95967.35+76227.39+34644.5+27256</f>
        <v>234095.24</v>
      </c>
      <c r="O7" s="92">
        <f>9552+7384+3615+3071</f>
        <v>23622</v>
      </c>
      <c r="P7" s="93">
        <f>N7/O7</f>
        <v>9.9100516467699595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48</v>
      </c>
      <c r="D8" s="121">
        <v>41768</v>
      </c>
      <c r="E8" s="122" t="s">
        <v>10</v>
      </c>
      <c r="F8" s="123" t="s">
        <v>10</v>
      </c>
      <c r="G8" s="124">
        <v>22</v>
      </c>
      <c r="H8" s="131">
        <v>14</v>
      </c>
      <c r="I8" s="132">
        <v>6</v>
      </c>
      <c r="J8" s="87">
        <v>19062.27</v>
      </c>
      <c r="K8" s="88">
        <v>2258</v>
      </c>
      <c r="L8" s="89">
        <f t="shared" si="0"/>
        <v>161.28571428571428</v>
      </c>
      <c r="M8" s="90">
        <f t="shared" si="1"/>
        <v>8.4421036315323299</v>
      </c>
      <c r="N8" s="91">
        <f>96037.16+42293.76+11136.86+17605+22297.3+19062.27</f>
        <v>208432.35</v>
      </c>
      <c r="O8" s="92">
        <f>9852+4309+1246+1999+2461+2258</f>
        <v>22125</v>
      </c>
      <c r="P8" s="93">
        <f t="shared" si="2"/>
        <v>9.4206711864406785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36</v>
      </c>
      <c r="D9" s="121">
        <v>41740</v>
      </c>
      <c r="E9" s="122" t="s">
        <v>10</v>
      </c>
      <c r="F9" s="123" t="s">
        <v>10</v>
      </c>
      <c r="G9" s="124">
        <v>26</v>
      </c>
      <c r="H9" s="131">
        <v>12</v>
      </c>
      <c r="I9" s="132">
        <v>10</v>
      </c>
      <c r="J9" s="87">
        <v>14888</v>
      </c>
      <c r="K9" s="88">
        <v>1705</v>
      </c>
      <c r="L9" s="89">
        <f>K9/H9</f>
        <v>142.08333333333334</v>
      </c>
      <c r="M9" s="90">
        <f>+J9/K9</f>
        <v>8.7319648093841646</v>
      </c>
      <c r="N9" s="91">
        <f>125801.67+108052.78+37084.43+23601.43+21068.8+18394.5+13443.32+12736+17919.5+14888</f>
        <v>392990.43</v>
      </c>
      <c r="O9" s="92">
        <f>12315+10389+3812+2521+2588+2117+1563+1524+2098+1705</f>
        <v>40632</v>
      </c>
      <c r="P9" s="93">
        <f>N9/O9</f>
        <v>9.6719440342587113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9</v>
      </c>
      <c r="D10" s="121">
        <v>41684</v>
      </c>
      <c r="E10" s="122" t="s">
        <v>10</v>
      </c>
      <c r="F10" s="123" t="s">
        <v>11</v>
      </c>
      <c r="G10" s="124">
        <v>76</v>
      </c>
      <c r="H10" s="131">
        <v>7</v>
      </c>
      <c r="I10" s="132">
        <v>18</v>
      </c>
      <c r="J10" s="87">
        <v>7282</v>
      </c>
      <c r="K10" s="88">
        <v>841</v>
      </c>
      <c r="L10" s="89">
        <f t="shared" si="0"/>
        <v>120.14285714285714</v>
      </c>
      <c r="M10" s="90">
        <f t="shared" si="1"/>
        <v>8.658739595719382</v>
      </c>
      <c r="N10" s="91">
        <f>457084.63+194296.68+44137.17+13030+7400.5+9372.51+21985.7+8798+6823.5+11928.5+9039+10315.86+4561.58+5322+1536+3683.5+5700.5+7282</f>
        <v>822297.63</v>
      </c>
      <c r="O10" s="92">
        <f>48529+19857+4845+1742+907+1325+3002+1302+917+1510+1343+1395+656+665+188+409+660+841</f>
        <v>90093</v>
      </c>
      <c r="P10" s="93">
        <f t="shared" si="2"/>
        <v>9.1272088841530419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44</v>
      </c>
      <c r="D11" s="121">
        <v>41754</v>
      </c>
      <c r="E11" s="122" t="s">
        <v>10</v>
      </c>
      <c r="F11" s="123" t="s">
        <v>10</v>
      </c>
      <c r="G11" s="124">
        <v>7</v>
      </c>
      <c r="H11" s="131">
        <v>3</v>
      </c>
      <c r="I11" s="132">
        <v>7</v>
      </c>
      <c r="J11" s="87">
        <v>5171</v>
      </c>
      <c r="K11" s="88">
        <v>605</v>
      </c>
      <c r="L11" s="89">
        <f>K11/H11</f>
        <v>201.66666666666666</v>
      </c>
      <c r="M11" s="90">
        <f>+J11/K11</f>
        <v>8.5471074380165284</v>
      </c>
      <c r="N11" s="91">
        <f>60197.59+17202+321+844+1811.5+1331+5171</f>
        <v>86878.09</v>
      </c>
      <c r="O11" s="92">
        <f>5024+1383+28+122+244+160+605</f>
        <v>7566</v>
      </c>
      <c r="P11" s="93">
        <f>N11/O11</f>
        <v>11.482697594501717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33</v>
      </c>
      <c r="D12" s="121">
        <v>41726</v>
      </c>
      <c r="E12" s="122" t="s">
        <v>10</v>
      </c>
      <c r="F12" s="123" t="s">
        <v>10</v>
      </c>
      <c r="G12" s="124">
        <v>39</v>
      </c>
      <c r="H12" s="131">
        <v>6</v>
      </c>
      <c r="I12" s="132">
        <v>12</v>
      </c>
      <c r="J12" s="87">
        <v>2544</v>
      </c>
      <c r="K12" s="88">
        <v>378</v>
      </c>
      <c r="L12" s="89">
        <f>K12/H12</f>
        <v>63</v>
      </c>
      <c r="M12" s="90">
        <f>+J12/K12</f>
        <v>6.7301587301587302</v>
      </c>
      <c r="N12" s="91">
        <f>231174.62+62282.23+5309.5+9347+8300+7582.5+7225.5+4781+2621+6241.6+5123+2544</f>
        <v>352531.94999999995</v>
      </c>
      <c r="O12" s="92">
        <f>20693+5291+479+930+887+837+776+691+255+784+638+378</f>
        <v>32639</v>
      </c>
      <c r="P12" s="93">
        <f>N12/O12</f>
        <v>10.800942124452341</v>
      </c>
      <c r="Q12" s="126"/>
      <c r="R12" s="26"/>
    </row>
    <row r="13" spans="1:18" s="4" customFormat="1" ht="24" customHeight="1" thickBot="1" x14ac:dyDescent="0.3">
      <c r="B13" s="11">
        <f t="shared" si="3"/>
        <v>8</v>
      </c>
      <c r="C13" s="37" t="s">
        <v>41</v>
      </c>
      <c r="D13" s="38">
        <v>41747</v>
      </c>
      <c r="E13" s="39" t="s">
        <v>10</v>
      </c>
      <c r="F13" s="40" t="s">
        <v>10</v>
      </c>
      <c r="G13" s="41">
        <v>27</v>
      </c>
      <c r="H13" s="16">
        <v>7</v>
      </c>
      <c r="I13" s="17">
        <v>9</v>
      </c>
      <c r="J13" s="104">
        <v>2028.5</v>
      </c>
      <c r="K13" s="66">
        <v>259</v>
      </c>
      <c r="L13" s="102">
        <f>K13/H13</f>
        <v>37</v>
      </c>
      <c r="M13" s="103">
        <f>+J13/K13</f>
        <v>7.8320463320463318</v>
      </c>
      <c r="N13" s="105">
        <f>186153.66+73200.86+7974.97+3137.5+2235.5+2569.5+1951+3923.5+2028.5</f>
        <v>283174.99</v>
      </c>
      <c r="O13" s="106">
        <f>17828+6634+897+384+272+355+277+539+259</f>
        <v>27445</v>
      </c>
      <c r="P13" s="107">
        <f>N13/O13</f>
        <v>10.317908179996357</v>
      </c>
      <c r="Q13" s="126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9 O10:O13" unlockedFormula="1"/>
    <ignoredError sqref="M6:M12" evalError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77" t="s">
        <v>14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34" t="s">
        <v>17</v>
      </c>
      <c r="O2" s="181" t="s">
        <v>59</v>
      </c>
      <c r="P2" s="182"/>
    </row>
    <row r="3" spans="1:18" ht="30.75" customHeight="1" thickBot="1" x14ac:dyDescent="0.3"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35" t="s">
        <v>45</v>
      </c>
      <c r="O3" s="183" t="s">
        <v>60</v>
      </c>
      <c r="P3" s="184"/>
    </row>
    <row r="4" spans="1:18" s="4" customFormat="1" ht="16.5" customHeight="1" x14ac:dyDescent="0.25">
      <c r="A4" s="2"/>
      <c r="B4" s="3"/>
      <c r="C4" s="185" t="s">
        <v>0</v>
      </c>
      <c r="D4" s="187" t="s">
        <v>1</v>
      </c>
      <c r="E4" s="189" t="s">
        <v>2</v>
      </c>
      <c r="F4" s="189" t="s">
        <v>3</v>
      </c>
      <c r="G4" s="191" t="s">
        <v>4</v>
      </c>
      <c r="H4" s="191" t="s">
        <v>5</v>
      </c>
      <c r="I4" s="193" t="s">
        <v>13</v>
      </c>
      <c r="J4" s="172" t="s">
        <v>15</v>
      </c>
      <c r="K4" s="173"/>
      <c r="L4" s="173"/>
      <c r="M4" s="174"/>
      <c r="N4" s="172" t="s">
        <v>16</v>
      </c>
      <c r="O4" s="175"/>
      <c r="P4" s="176"/>
    </row>
    <row r="5" spans="1:18" s="4" customFormat="1" ht="12.75" thickBot="1" x14ac:dyDescent="0.3">
      <c r="A5" s="2"/>
      <c r="B5" s="36"/>
      <c r="C5" s="186"/>
      <c r="D5" s="188"/>
      <c r="E5" s="190"/>
      <c r="F5" s="190"/>
      <c r="G5" s="192"/>
      <c r="H5" s="192"/>
      <c r="I5" s="194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61</v>
      </c>
      <c r="D6" s="109">
        <v>41796</v>
      </c>
      <c r="E6" s="110" t="s">
        <v>10</v>
      </c>
      <c r="F6" s="111" t="s">
        <v>10</v>
      </c>
      <c r="G6" s="112">
        <v>22</v>
      </c>
      <c r="H6" s="113">
        <v>44</v>
      </c>
      <c r="I6" s="114">
        <v>1</v>
      </c>
      <c r="J6" s="127">
        <v>166025.28</v>
      </c>
      <c r="K6" s="128">
        <v>15114</v>
      </c>
      <c r="L6" s="115">
        <f t="shared" ref="L6:L13" si="0">K6/H6</f>
        <v>343.5</v>
      </c>
      <c r="M6" s="116">
        <f t="shared" ref="M6:M13" si="1">+J6/K6</f>
        <v>10.984867010718538</v>
      </c>
      <c r="N6" s="129">
        <v>166025.28</v>
      </c>
      <c r="O6" s="130">
        <v>15114</v>
      </c>
      <c r="P6" s="118">
        <f t="shared" ref="P6:P13" si="2">N6/O6</f>
        <v>10.984867010718538</v>
      </c>
      <c r="Q6" s="126"/>
      <c r="R6" s="26"/>
    </row>
    <row r="7" spans="1:18" s="4" customFormat="1" ht="24" customHeight="1" x14ac:dyDescent="0.25">
      <c r="B7" s="79">
        <f t="shared" ref="B7:B13" si="3">B6+1</f>
        <v>2</v>
      </c>
      <c r="C7" s="120" t="s">
        <v>56</v>
      </c>
      <c r="D7" s="121">
        <v>41782</v>
      </c>
      <c r="E7" s="122" t="s">
        <v>10</v>
      </c>
      <c r="F7" s="123" t="s">
        <v>10</v>
      </c>
      <c r="G7" s="124">
        <v>30</v>
      </c>
      <c r="H7" s="85">
        <v>18</v>
      </c>
      <c r="I7" s="86">
        <v>3</v>
      </c>
      <c r="J7" s="87">
        <v>34644.5</v>
      </c>
      <c r="K7" s="88">
        <v>3615</v>
      </c>
      <c r="L7" s="89">
        <f>K7/H7</f>
        <v>200.83333333333334</v>
      </c>
      <c r="M7" s="90">
        <f>+J7/K7</f>
        <v>9.5835408022130011</v>
      </c>
      <c r="N7" s="91">
        <f>95967.35+76227.39+34644.5</f>
        <v>206839.24</v>
      </c>
      <c r="O7" s="92">
        <f>9552+7384+3615</f>
        <v>20551</v>
      </c>
      <c r="P7" s="93">
        <f>N7/O7</f>
        <v>10.064680064230451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48</v>
      </c>
      <c r="D8" s="121">
        <v>41768</v>
      </c>
      <c r="E8" s="122" t="s">
        <v>10</v>
      </c>
      <c r="F8" s="123" t="s">
        <v>10</v>
      </c>
      <c r="G8" s="124">
        <v>22</v>
      </c>
      <c r="H8" s="85">
        <v>14</v>
      </c>
      <c r="I8" s="86">
        <v>5</v>
      </c>
      <c r="J8" s="87">
        <v>22297.3</v>
      </c>
      <c r="K8" s="88">
        <v>2461</v>
      </c>
      <c r="L8" s="89">
        <f t="shared" si="0"/>
        <v>175.78571428571428</v>
      </c>
      <c r="M8" s="90">
        <f t="shared" si="1"/>
        <v>9.0602600568874436</v>
      </c>
      <c r="N8" s="91">
        <f>96037.16+42293.76+11136.86+17605+22297.3</f>
        <v>189370.08000000002</v>
      </c>
      <c r="O8" s="92">
        <f>9852+4309+1246+1999+2461</f>
        <v>19867</v>
      </c>
      <c r="P8" s="93">
        <f t="shared" si="2"/>
        <v>9.5318910756530943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36</v>
      </c>
      <c r="D9" s="121">
        <v>41740</v>
      </c>
      <c r="E9" s="122" t="s">
        <v>10</v>
      </c>
      <c r="F9" s="123" t="s">
        <v>10</v>
      </c>
      <c r="G9" s="124">
        <v>26</v>
      </c>
      <c r="H9" s="85">
        <v>9</v>
      </c>
      <c r="I9" s="86">
        <v>9</v>
      </c>
      <c r="J9" s="87">
        <v>17919.5</v>
      </c>
      <c r="K9" s="88">
        <v>2098</v>
      </c>
      <c r="L9" s="89">
        <f>K9/H9</f>
        <v>233.11111111111111</v>
      </c>
      <c r="M9" s="90">
        <f>+J9/K9</f>
        <v>8.5412297426120123</v>
      </c>
      <c r="N9" s="91">
        <f>125801.67+108052.78+37084.43+23601.43+21068.8+18394.5+13443.32+12736+17919.5</f>
        <v>378102.43</v>
      </c>
      <c r="O9" s="92">
        <f>12315+10389+3812+2521+2588+2117+1563+1524+2098</f>
        <v>38927</v>
      </c>
      <c r="P9" s="93">
        <f>N9/O9</f>
        <v>9.7131150615254196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9</v>
      </c>
      <c r="D10" s="121">
        <v>41684</v>
      </c>
      <c r="E10" s="122" t="s">
        <v>10</v>
      </c>
      <c r="F10" s="123" t="s">
        <v>11</v>
      </c>
      <c r="G10" s="124">
        <v>76</v>
      </c>
      <c r="H10" s="85">
        <v>8</v>
      </c>
      <c r="I10" s="86">
        <v>17</v>
      </c>
      <c r="J10" s="87">
        <v>5700.5</v>
      </c>
      <c r="K10" s="88">
        <v>660</v>
      </c>
      <c r="L10" s="89">
        <f t="shared" si="0"/>
        <v>82.5</v>
      </c>
      <c r="M10" s="90">
        <f t="shared" si="1"/>
        <v>8.6371212121212118</v>
      </c>
      <c r="N10" s="91">
        <f>457084.63+194296.68+44137.17+13030+7400.5+9372.51+21985.7+8798+6823.5+11928.5+9039+10315.86+4561.58+5322+1536+3683.5+5700.5</f>
        <v>815015.63</v>
      </c>
      <c r="O10" s="92">
        <f>48529+19857+4845+1742+907+1325+3002+1302+917+1510+1343+1395+656+665+188+409+660</f>
        <v>89252</v>
      </c>
      <c r="P10" s="93">
        <f t="shared" si="2"/>
        <v>9.1316231569040465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33</v>
      </c>
      <c r="D11" s="121">
        <v>41726</v>
      </c>
      <c r="E11" s="122" t="s">
        <v>10</v>
      </c>
      <c r="F11" s="123" t="s">
        <v>10</v>
      </c>
      <c r="G11" s="124">
        <v>39</v>
      </c>
      <c r="H11" s="85">
        <v>7</v>
      </c>
      <c r="I11" s="86">
        <v>11</v>
      </c>
      <c r="J11" s="87">
        <v>5123</v>
      </c>
      <c r="K11" s="88">
        <v>638</v>
      </c>
      <c r="L11" s="89">
        <f>K11/H11</f>
        <v>91.142857142857139</v>
      </c>
      <c r="M11" s="90">
        <f>+J11/K11</f>
        <v>8.0297805642633229</v>
      </c>
      <c r="N11" s="91">
        <f>231174.62+62282.23+5309.5+9347+8300+7582.5+7225.5+4781+2621+6241.6+5123</f>
        <v>349987.94999999995</v>
      </c>
      <c r="O11" s="92">
        <f>20693+5291+479+930+887+837+776+691+255+784+638</f>
        <v>32261</v>
      </c>
      <c r="P11" s="93">
        <f>N11/O11</f>
        <v>10.848639223830631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41</v>
      </c>
      <c r="D12" s="121">
        <v>41747</v>
      </c>
      <c r="E12" s="122" t="s">
        <v>10</v>
      </c>
      <c r="F12" s="123" t="s">
        <v>10</v>
      </c>
      <c r="G12" s="124">
        <v>27</v>
      </c>
      <c r="H12" s="85">
        <v>13</v>
      </c>
      <c r="I12" s="86">
        <v>8</v>
      </c>
      <c r="J12" s="87">
        <v>3923.5</v>
      </c>
      <c r="K12" s="88">
        <v>539</v>
      </c>
      <c r="L12" s="89">
        <f>K12/H12</f>
        <v>41.46153846153846</v>
      </c>
      <c r="M12" s="90">
        <f>+J12/K12</f>
        <v>7.279220779220779</v>
      </c>
      <c r="N12" s="91">
        <f>186153.66+73200.86+7974.97+3137.5+2235.5+2569.5+1951+3923.5</f>
        <v>281146.49</v>
      </c>
      <c r="O12" s="92">
        <f>17828+6634+897+384+272+355+277+539</f>
        <v>27186</v>
      </c>
      <c r="P12" s="93">
        <f>N12/O12</f>
        <v>10.341590892371073</v>
      </c>
      <c r="Q12" s="126"/>
      <c r="R12" s="26"/>
    </row>
    <row r="13" spans="1:18" s="4" customFormat="1" ht="24" customHeight="1" thickBot="1" x14ac:dyDescent="0.3">
      <c r="B13" s="11">
        <f t="shared" si="3"/>
        <v>8</v>
      </c>
      <c r="C13" s="37" t="s">
        <v>44</v>
      </c>
      <c r="D13" s="38">
        <v>41754</v>
      </c>
      <c r="E13" s="39" t="s">
        <v>10</v>
      </c>
      <c r="F13" s="40" t="s">
        <v>10</v>
      </c>
      <c r="G13" s="41">
        <v>7</v>
      </c>
      <c r="H13" s="100">
        <v>2</v>
      </c>
      <c r="I13" s="101">
        <v>6</v>
      </c>
      <c r="J13" s="104">
        <v>1331</v>
      </c>
      <c r="K13" s="66">
        <v>160</v>
      </c>
      <c r="L13" s="102">
        <f t="shared" si="0"/>
        <v>80</v>
      </c>
      <c r="M13" s="103">
        <f t="shared" si="1"/>
        <v>8.3187499999999996</v>
      </c>
      <c r="N13" s="105">
        <f>60197.59+17202+321+844+1811.5+1331</f>
        <v>81707.09</v>
      </c>
      <c r="O13" s="106">
        <f>5024+1383+28+122+244+160</f>
        <v>6961</v>
      </c>
      <c r="P13" s="107">
        <f t="shared" si="2"/>
        <v>11.737837954316907</v>
      </c>
      <c r="Q13" s="126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7:O13" unlocked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77" t="s">
        <v>14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34" t="s">
        <v>17</v>
      </c>
      <c r="O2" s="181" t="s">
        <v>57</v>
      </c>
      <c r="P2" s="182"/>
    </row>
    <row r="3" spans="1:18" ht="30.75" customHeight="1" thickBot="1" x14ac:dyDescent="0.3"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35" t="s">
        <v>45</v>
      </c>
      <c r="O3" s="183" t="s">
        <v>58</v>
      </c>
      <c r="P3" s="184"/>
    </row>
    <row r="4" spans="1:18" s="4" customFormat="1" ht="16.5" customHeight="1" x14ac:dyDescent="0.25">
      <c r="A4" s="2"/>
      <c r="B4" s="3"/>
      <c r="C4" s="185" t="s">
        <v>0</v>
      </c>
      <c r="D4" s="187" t="s">
        <v>1</v>
      </c>
      <c r="E4" s="189" t="s">
        <v>2</v>
      </c>
      <c r="F4" s="189" t="s">
        <v>3</v>
      </c>
      <c r="G4" s="191" t="s">
        <v>4</v>
      </c>
      <c r="H4" s="191" t="s">
        <v>5</v>
      </c>
      <c r="I4" s="193" t="s">
        <v>13</v>
      </c>
      <c r="J4" s="172" t="s">
        <v>15</v>
      </c>
      <c r="K4" s="173"/>
      <c r="L4" s="173"/>
      <c r="M4" s="174"/>
      <c r="N4" s="172" t="s">
        <v>16</v>
      </c>
      <c r="O4" s="175"/>
      <c r="P4" s="176"/>
    </row>
    <row r="5" spans="1:18" s="4" customFormat="1" ht="12.75" thickBot="1" x14ac:dyDescent="0.3">
      <c r="A5" s="2"/>
      <c r="B5" s="36"/>
      <c r="C5" s="186"/>
      <c r="D5" s="188"/>
      <c r="E5" s="190"/>
      <c r="F5" s="190"/>
      <c r="G5" s="192"/>
      <c r="H5" s="192"/>
      <c r="I5" s="194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56</v>
      </c>
      <c r="D6" s="109">
        <v>41782</v>
      </c>
      <c r="E6" s="110" t="s">
        <v>10</v>
      </c>
      <c r="F6" s="111" t="s">
        <v>10</v>
      </c>
      <c r="G6" s="112">
        <v>30</v>
      </c>
      <c r="H6" s="113">
        <v>36</v>
      </c>
      <c r="I6" s="114">
        <v>2</v>
      </c>
      <c r="J6" s="117">
        <v>76227.39</v>
      </c>
      <c r="K6" s="54">
        <v>7384</v>
      </c>
      <c r="L6" s="115">
        <f t="shared" ref="L6:L13" si="0">K6/H6</f>
        <v>205.11111111111111</v>
      </c>
      <c r="M6" s="116">
        <f t="shared" ref="M6:M13" si="1">+J6/K6</f>
        <v>10.323319339111592</v>
      </c>
      <c r="N6" s="94">
        <v>172194.74</v>
      </c>
      <c r="O6" s="119">
        <v>16936</v>
      </c>
      <c r="P6" s="118">
        <f t="shared" ref="P6:P13" si="2">N6/O6</f>
        <v>10.167379546528105</v>
      </c>
      <c r="Q6" s="126"/>
      <c r="R6" s="26"/>
    </row>
    <row r="7" spans="1:18" s="4" customFormat="1" ht="24" customHeight="1" x14ac:dyDescent="0.25">
      <c r="B7" s="79">
        <f t="shared" ref="B7:B13" si="3">B6+1</f>
        <v>2</v>
      </c>
      <c r="C7" s="120" t="s">
        <v>48</v>
      </c>
      <c r="D7" s="121">
        <v>41768</v>
      </c>
      <c r="E7" s="122" t="s">
        <v>10</v>
      </c>
      <c r="F7" s="123" t="s">
        <v>10</v>
      </c>
      <c r="G7" s="124">
        <v>22</v>
      </c>
      <c r="H7" s="85">
        <v>11</v>
      </c>
      <c r="I7" s="86">
        <v>4</v>
      </c>
      <c r="J7" s="87">
        <v>17605</v>
      </c>
      <c r="K7" s="88">
        <v>1999</v>
      </c>
      <c r="L7" s="89">
        <f>K7/H7</f>
        <v>181.72727272727272</v>
      </c>
      <c r="M7" s="90">
        <f>+J7/K7</f>
        <v>8.8069034517258622</v>
      </c>
      <c r="N7" s="91">
        <v>167072.78</v>
      </c>
      <c r="O7" s="92">
        <v>17406</v>
      </c>
      <c r="P7" s="93">
        <f>N7/O7</f>
        <v>9.5985740549235903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36</v>
      </c>
      <c r="D8" s="121">
        <v>41740</v>
      </c>
      <c r="E8" s="122" t="s">
        <v>10</v>
      </c>
      <c r="F8" s="123" t="s">
        <v>10</v>
      </c>
      <c r="G8" s="124">
        <v>26</v>
      </c>
      <c r="H8" s="85">
        <v>11</v>
      </c>
      <c r="I8" s="86">
        <v>8</v>
      </c>
      <c r="J8" s="87">
        <v>12736</v>
      </c>
      <c r="K8" s="88">
        <v>1524</v>
      </c>
      <c r="L8" s="89">
        <f t="shared" si="0"/>
        <v>138.54545454545453</v>
      </c>
      <c r="M8" s="90">
        <f t="shared" si="1"/>
        <v>8.3569553805774284</v>
      </c>
      <c r="N8" s="91">
        <v>360182.93</v>
      </c>
      <c r="O8" s="92">
        <v>36829</v>
      </c>
      <c r="P8" s="93">
        <f t="shared" si="2"/>
        <v>9.7798726547014585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53</v>
      </c>
      <c r="D9" s="121">
        <v>41775</v>
      </c>
      <c r="E9" s="122" t="s">
        <v>10</v>
      </c>
      <c r="F9" s="123" t="s">
        <v>10</v>
      </c>
      <c r="G9" s="124">
        <v>10</v>
      </c>
      <c r="H9" s="85">
        <v>2</v>
      </c>
      <c r="I9" s="86">
        <v>3</v>
      </c>
      <c r="J9" s="87">
        <v>7537.35</v>
      </c>
      <c r="K9" s="88">
        <v>851</v>
      </c>
      <c r="L9" s="89">
        <f>K9/H9</f>
        <v>425.5</v>
      </c>
      <c r="M9" s="90">
        <f>+J9/K9</f>
        <v>8.8570505287896601</v>
      </c>
      <c r="N9" s="91">
        <v>69932.94</v>
      </c>
      <c r="O9" s="92">
        <v>5930</v>
      </c>
      <c r="P9" s="93">
        <f>N9/O9</f>
        <v>11.793075885328836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33</v>
      </c>
      <c r="D10" s="121">
        <v>41726</v>
      </c>
      <c r="E10" s="122" t="s">
        <v>10</v>
      </c>
      <c r="F10" s="123" t="s">
        <v>10</v>
      </c>
      <c r="G10" s="124">
        <v>39</v>
      </c>
      <c r="H10" s="85">
        <v>7</v>
      </c>
      <c r="I10" s="86">
        <v>10</v>
      </c>
      <c r="J10" s="87">
        <v>6241.6</v>
      </c>
      <c r="K10" s="88">
        <v>784</v>
      </c>
      <c r="L10" s="89">
        <f t="shared" si="0"/>
        <v>112</v>
      </c>
      <c r="M10" s="90">
        <f t="shared" si="1"/>
        <v>7.961224489795919</v>
      </c>
      <c r="N10" s="91">
        <v>344864.95</v>
      </c>
      <c r="O10" s="92">
        <v>31623</v>
      </c>
      <c r="P10" s="93">
        <f t="shared" si="2"/>
        <v>10.905510229895961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9</v>
      </c>
      <c r="D11" s="121">
        <v>41684</v>
      </c>
      <c r="E11" s="122" t="s">
        <v>10</v>
      </c>
      <c r="F11" s="123" t="s">
        <v>11</v>
      </c>
      <c r="G11" s="124">
        <v>76</v>
      </c>
      <c r="H11" s="85">
        <v>7</v>
      </c>
      <c r="I11" s="86">
        <v>16</v>
      </c>
      <c r="J11" s="87">
        <v>3683.5</v>
      </c>
      <c r="K11" s="88">
        <v>409</v>
      </c>
      <c r="L11" s="89">
        <f>K11/H11</f>
        <v>58.428571428571431</v>
      </c>
      <c r="M11" s="90">
        <f>+J11/K11</f>
        <v>9.0061124694376531</v>
      </c>
      <c r="N11" s="91">
        <v>809315.13</v>
      </c>
      <c r="O11" s="92">
        <v>88592</v>
      </c>
      <c r="P11" s="93">
        <f>N11/O11</f>
        <v>9.1353071383420623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41</v>
      </c>
      <c r="D12" s="121">
        <v>41747</v>
      </c>
      <c r="E12" s="122" t="s">
        <v>10</v>
      </c>
      <c r="F12" s="123" t="s">
        <v>10</v>
      </c>
      <c r="G12" s="124">
        <v>27</v>
      </c>
      <c r="H12" s="85">
        <v>6</v>
      </c>
      <c r="I12" s="86">
        <v>7</v>
      </c>
      <c r="J12" s="87">
        <v>1951</v>
      </c>
      <c r="K12" s="88">
        <v>277</v>
      </c>
      <c r="L12" s="89">
        <f>K12/H12</f>
        <v>46.166666666666664</v>
      </c>
      <c r="M12" s="90">
        <f>+J12/K12</f>
        <v>7.0433212996389889</v>
      </c>
      <c r="N12" s="91">
        <v>277222.99</v>
      </c>
      <c r="O12" s="92">
        <v>26647</v>
      </c>
      <c r="P12" s="93">
        <f>N12/O12</f>
        <v>10.403534731864751</v>
      </c>
      <c r="Q12" s="126"/>
      <c r="R12" s="26"/>
    </row>
    <row r="13" spans="1:18" s="4" customFormat="1" ht="24" customHeight="1" thickBot="1" x14ac:dyDescent="0.3">
      <c r="B13" s="11">
        <f t="shared" si="3"/>
        <v>8</v>
      </c>
      <c r="C13" s="37" t="s">
        <v>44</v>
      </c>
      <c r="D13" s="38">
        <v>41754</v>
      </c>
      <c r="E13" s="39" t="s">
        <v>10</v>
      </c>
      <c r="F13" s="40" t="s">
        <v>10</v>
      </c>
      <c r="G13" s="41">
        <v>7</v>
      </c>
      <c r="H13" s="100">
        <v>4</v>
      </c>
      <c r="I13" s="101">
        <v>5</v>
      </c>
      <c r="J13" s="104">
        <v>1811.5</v>
      </c>
      <c r="K13" s="66">
        <v>244</v>
      </c>
      <c r="L13" s="102">
        <f t="shared" si="0"/>
        <v>61</v>
      </c>
      <c r="M13" s="103">
        <f t="shared" si="1"/>
        <v>7.4241803278688527</v>
      </c>
      <c r="N13" s="105">
        <v>80376.09</v>
      </c>
      <c r="O13" s="106">
        <v>6801</v>
      </c>
      <c r="P13" s="107">
        <f t="shared" si="2"/>
        <v>11.81827525363917</v>
      </c>
      <c r="Q13" s="126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77" t="s">
        <v>14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34" t="s">
        <v>17</v>
      </c>
      <c r="O2" s="181" t="s">
        <v>54</v>
      </c>
      <c r="P2" s="182"/>
    </row>
    <row r="3" spans="1:18" ht="30.75" customHeight="1" thickBot="1" x14ac:dyDescent="0.3"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35" t="s">
        <v>45</v>
      </c>
      <c r="O3" s="183" t="s">
        <v>55</v>
      </c>
      <c r="P3" s="184"/>
    </row>
    <row r="4" spans="1:18" s="4" customFormat="1" ht="16.5" customHeight="1" x14ac:dyDescent="0.25">
      <c r="A4" s="2"/>
      <c r="B4" s="3"/>
      <c r="C4" s="185" t="s">
        <v>0</v>
      </c>
      <c r="D4" s="187" t="s">
        <v>1</v>
      </c>
      <c r="E4" s="189" t="s">
        <v>2</v>
      </c>
      <c r="F4" s="189" t="s">
        <v>3</v>
      </c>
      <c r="G4" s="191" t="s">
        <v>4</v>
      </c>
      <c r="H4" s="191" t="s">
        <v>5</v>
      </c>
      <c r="I4" s="193" t="s">
        <v>13</v>
      </c>
      <c r="J4" s="172" t="s">
        <v>15</v>
      </c>
      <c r="K4" s="173"/>
      <c r="L4" s="173"/>
      <c r="M4" s="174"/>
      <c r="N4" s="172" t="s">
        <v>16</v>
      </c>
      <c r="O4" s="175"/>
      <c r="P4" s="176"/>
    </row>
    <row r="5" spans="1:18" s="4" customFormat="1" ht="12.75" thickBot="1" x14ac:dyDescent="0.3">
      <c r="A5" s="2"/>
      <c r="B5" s="36"/>
      <c r="C5" s="186"/>
      <c r="D5" s="188"/>
      <c r="E5" s="190"/>
      <c r="F5" s="190"/>
      <c r="G5" s="192"/>
      <c r="H5" s="192"/>
      <c r="I5" s="194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108" t="s">
        <v>56</v>
      </c>
      <c r="D6" s="109">
        <v>41782</v>
      </c>
      <c r="E6" s="110" t="s">
        <v>10</v>
      </c>
      <c r="F6" s="111" t="s">
        <v>10</v>
      </c>
      <c r="G6" s="112">
        <v>30</v>
      </c>
      <c r="H6" s="113">
        <v>46</v>
      </c>
      <c r="I6" s="114">
        <v>1</v>
      </c>
      <c r="J6" s="117">
        <v>95967.35</v>
      </c>
      <c r="K6" s="54">
        <v>9552</v>
      </c>
      <c r="L6" s="115">
        <f t="shared" ref="L6:L12" si="0">K6/H6</f>
        <v>207.65217391304347</v>
      </c>
      <c r="M6" s="116">
        <f t="shared" ref="M6:M12" si="1">+J6/K6</f>
        <v>10.0468331239531</v>
      </c>
      <c r="N6" s="94">
        <v>95967.35</v>
      </c>
      <c r="O6" s="119">
        <v>9552</v>
      </c>
      <c r="P6" s="118">
        <f t="shared" ref="P6:P13" si="2">N6/O6</f>
        <v>10.0468331239531</v>
      </c>
      <c r="Q6" s="25"/>
      <c r="R6" s="26"/>
    </row>
    <row r="7" spans="1:18" s="4" customFormat="1" ht="24" customHeight="1" x14ac:dyDescent="0.25">
      <c r="B7" s="79">
        <f t="shared" ref="B7:B13" si="3">B6+1</f>
        <v>2</v>
      </c>
      <c r="C7" s="120" t="s">
        <v>36</v>
      </c>
      <c r="D7" s="121">
        <v>41740</v>
      </c>
      <c r="E7" s="122" t="s">
        <v>10</v>
      </c>
      <c r="F7" s="123" t="s">
        <v>10</v>
      </c>
      <c r="G7" s="124">
        <v>26</v>
      </c>
      <c r="H7" s="85">
        <v>13</v>
      </c>
      <c r="I7" s="86">
        <v>7</v>
      </c>
      <c r="J7" s="87">
        <v>13443.32</v>
      </c>
      <c r="K7" s="88">
        <v>1563</v>
      </c>
      <c r="L7" s="89">
        <f>K7/H7</f>
        <v>120.23076923076923</v>
      </c>
      <c r="M7" s="90">
        <f>+J7/K7</f>
        <v>8.600972488803583</v>
      </c>
      <c r="N7" s="91">
        <v>347446.93</v>
      </c>
      <c r="O7" s="92">
        <v>35305</v>
      </c>
      <c r="P7" s="93">
        <f>N7/O7</f>
        <v>9.8412952839541141</v>
      </c>
      <c r="Q7" s="25"/>
      <c r="R7" s="26"/>
    </row>
    <row r="8" spans="1:18" s="4" customFormat="1" ht="24" customHeight="1" x14ac:dyDescent="0.25">
      <c r="B8" s="79">
        <f t="shared" si="3"/>
        <v>3</v>
      </c>
      <c r="C8" s="120" t="s">
        <v>53</v>
      </c>
      <c r="D8" s="121">
        <v>41775</v>
      </c>
      <c r="E8" s="122" t="s">
        <v>10</v>
      </c>
      <c r="F8" s="123" t="s">
        <v>10</v>
      </c>
      <c r="G8" s="124">
        <v>10</v>
      </c>
      <c r="H8" s="85">
        <v>11</v>
      </c>
      <c r="I8" s="86">
        <v>2</v>
      </c>
      <c r="J8" s="87">
        <v>13346</v>
      </c>
      <c r="K8" s="88">
        <v>1051</v>
      </c>
      <c r="L8" s="89">
        <f t="shared" si="0"/>
        <v>95.545454545454547</v>
      </c>
      <c r="M8" s="90">
        <f t="shared" si="1"/>
        <v>12.698382492863939</v>
      </c>
      <c r="N8" s="91">
        <v>62395.59</v>
      </c>
      <c r="O8" s="92">
        <v>5079</v>
      </c>
      <c r="P8" s="93">
        <f t="shared" si="2"/>
        <v>12.285014766686356</v>
      </c>
      <c r="Q8" s="25"/>
      <c r="R8" s="26"/>
    </row>
    <row r="9" spans="1:18" s="4" customFormat="1" ht="24" customHeight="1" x14ac:dyDescent="0.25">
      <c r="B9" s="79">
        <f t="shared" si="3"/>
        <v>4</v>
      </c>
      <c r="C9" s="120" t="s">
        <v>48</v>
      </c>
      <c r="D9" s="121">
        <v>41768</v>
      </c>
      <c r="E9" s="122" t="s">
        <v>10</v>
      </c>
      <c r="F9" s="123" t="s">
        <v>10</v>
      </c>
      <c r="G9" s="124">
        <v>22</v>
      </c>
      <c r="H9" s="85">
        <v>11</v>
      </c>
      <c r="I9" s="86">
        <v>3</v>
      </c>
      <c r="J9" s="87">
        <v>11136.86</v>
      </c>
      <c r="K9" s="88">
        <v>1246</v>
      </c>
      <c r="L9" s="89">
        <f>K9/H9</f>
        <v>113.27272727272727</v>
      </c>
      <c r="M9" s="90">
        <f>+J9/K9</f>
        <v>8.9380898876404498</v>
      </c>
      <c r="N9" s="91">
        <v>149467.78</v>
      </c>
      <c r="O9" s="92">
        <v>15407</v>
      </c>
      <c r="P9" s="93">
        <f>N9/O9</f>
        <v>9.7012903225806451</v>
      </c>
      <c r="Q9" s="25"/>
      <c r="R9" s="26"/>
    </row>
    <row r="10" spans="1:18" s="4" customFormat="1" ht="24" customHeight="1" x14ac:dyDescent="0.25">
      <c r="B10" s="79">
        <f t="shared" si="3"/>
        <v>5</v>
      </c>
      <c r="C10" s="120" t="s">
        <v>33</v>
      </c>
      <c r="D10" s="121">
        <v>41726</v>
      </c>
      <c r="E10" s="122" t="s">
        <v>10</v>
      </c>
      <c r="F10" s="123" t="s">
        <v>10</v>
      </c>
      <c r="G10" s="124">
        <v>39</v>
      </c>
      <c r="H10" s="85">
        <v>6</v>
      </c>
      <c r="I10" s="86">
        <v>9</v>
      </c>
      <c r="J10" s="87">
        <v>2621</v>
      </c>
      <c r="K10" s="88">
        <v>255</v>
      </c>
      <c r="L10" s="89">
        <f t="shared" si="0"/>
        <v>42.5</v>
      </c>
      <c r="M10" s="90">
        <f t="shared" si="1"/>
        <v>10.27843137254902</v>
      </c>
      <c r="N10" s="91">
        <v>338623.35</v>
      </c>
      <c r="O10" s="92">
        <v>30839</v>
      </c>
      <c r="P10" s="93">
        <f t="shared" si="2"/>
        <v>10.980360906644183</v>
      </c>
      <c r="Q10" s="25"/>
      <c r="R10" s="26"/>
    </row>
    <row r="11" spans="1:18" s="4" customFormat="1" ht="24" customHeight="1" x14ac:dyDescent="0.25">
      <c r="B11" s="79">
        <f t="shared" si="3"/>
        <v>6</v>
      </c>
      <c r="C11" s="120" t="s">
        <v>41</v>
      </c>
      <c r="D11" s="121">
        <v>41747</v>
      </c>
      <c r="E11" s="122" t="s">
        <v>10</v>
      </c>
      <c r="F11" s="123" t="s">
        <v>10</v>
      </c>
      <c r="G11" s="124">
        <v>27</v>
      </c>
      <c r="H11" s="85">
        <v>6</v>
      </c>
      <c r="I11" s="86">
        <v>6</v>
      </c>
      <c r="J11" s="87">
        <v>2569.5</v>
      </c>
      <c r="K11" s="88">
        <v>355</v>
      </c>
      <c r="L11" s="89">
        <f>K11/H11</f>
        <v>59.166666666666664</v>
      </c>
      <c r="M11" s="90">
        <f>+J11/K11</f>
        <v>7.2380281690140844</v>
      </c>
      <c r="N11" s="91">
        <v>275271.99</v>
      </c>
      <c r="O11" s="92">
        <v>26370</v>
      </c>
      <c r="P11" s="93">
        <f>N11/O11</f>
        <v>10.438831626848691</v>
      </c>
      <c r="Q11" s="25"/>
      <c r="R11" s="26"/>
    </row>
    <row r="12" spans="1:18" s="4" customFormat="1" ht="24" customHeight="1" x14ac:dyDescent="0.25">
      <c r="B12" s="79">
        <f t="shared" si="3"/>
        <v>7</v>
      </c>
      <c r="C12" s="120" t="s">
        <v>9</v>
      </c>
      <c r="D12" s="121">
        <v>41684</v>
      </c>
      <c r="E12" s="122" t="s">
        <v>10</v>
      </c>
      <c r="F12" s="123" t="s">
        <v>11</v>
      </c>
      <c r="G12" s="124">
        <v>76</v>
      </c>
      <c r="H12" s="85">
        <v>6</v>
      </c>
      <c r="I12" s="86">
        <v>15</v>
      </c>
      <c r="J12" s="87">
        <v>1536</v>
      </c>
      <c r="K12" s="88">
        <v>188</v>
      </c>
      <c r="L12" s="89">
        <f t="shared" si="0"/>
        <v>31.333333333333332</v>
      </c>
      <c r="M12" s="90">
        <f t="shared" si="1"/>
        <v>8.1702127659574462</v>
      </c>
      <c r="N12" s="91">
        <v>805631.63</v>
      </c>
      <c r="O12" s="92">
        <v>88183</v>
      </c>
      <c r="P12" s="93">
        <f t="shared" si="2"/>
        <v>9.1359063538323717</v>
      </c>
      <c r="Q12" s="25"/>
      <c r="R12" s="26"/>
    </row>
    <row r="13" spans="1:18" s="4" customFormat="1" ht="24" customHeight="1" thickBot="1" x14ac:dyDescent="0.3">
      <c r="B13" s="11">
        <f t="shared" si="3"/>
        <v>8</v>
      </c>
      <c r="C13" s="37" t="s">
        <v>44</v>
      </c>
      <c r="D13" s="38">
        <v>41754</v>
      </c>
      <c r="E13" s="39" t="s">
        <v>10</v>
      </c>
      <c r="F13" s="40" t="s">
        <v>10</v>
      </c>
      <c r="G13" s="41">
        <v>7</v>
      </c>
      <c r="H13" s="100">
        <v>3</v>
      </c>
      <c r="I13" s="101">
        <v>4</v>
      </c>
      <c r="J13" s="104">
        <v>844</v>
      </c>
      <c r="K13" s="66">
        <v>122</v>
      </c>
      <c r="L13" s="102">
        <f t="shared" ref="L13" si="4">K13/H13</f>
        <v>40.666666666666664</v>
      </c>
      <c r="M13" s="103">
        <f t="shared" ref="M13" si="5">+J13/K13</f>
        <v>6.918032786885246</v>
      </c>
      <c r="N13" s="105">
        <v>78564.59</v>
      </c>
      <c r="O13" s="106">
        <v>6557</v>
      </c>
      <c r="P13" s="107">
        <f t="shared" si="2"/>
        <v>11.981788927863352</v>
      </c>
      <c r="Q13" s="25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77" t="s">
        <v>14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34" t="s">
        <v>17</v>
      </c>
      <c r="O2" s="181" t="s">
        <v>51</v>
      </c>
      <c r="P2" s="182"/>
    </row>
    <row r="3" spans="1:18" ht="30.75" customHeight="1" thickBot="1" x14ac:dyDescent="0.3"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35" t="s">
        <v>45</v>
      </c>
      <c r="O3" s="183" t="s">
        <v>52</v>
      </c>
      <c r="P3" s="184"/>
    </row>
    <row r="4" spans="1:18" s="4" customFormat="1" ht="16.5" customHeight="1" x14ac:dyDescent="0.25">
      <c r="A4" s="2"/>
      <c r="B4" s="3"/>
      <c r="C4" s="185" t="s">
        <v>0</v>
      </c>
      <c r="D4" s="187" t="s">
        <v>1</v>
      </c>
      <c r="E4" s="189" t="s">
        <v>2</v>
      </c>
      <c r="F4" s="189" t="s">
        <v>3</v>
      </c>
      <c r="G4" s="191" t="s">
        <v>4</v>
      </c>
      <c r="H4" s="191" t="s">
        <v>5</v>
      </c>
      <c r="I4" s="193" t="s">
        <v>13</v>
      </c>
      <c r="J4" s="172" t="s">
        <v>15</v>
      </c>
      <c r="K4" s="173"/>
      <c r="L4" s="173"/>
      <c r="M4" s="174"/>
      <c r="N4" s="172" t="s">
        <v>16</v>
      </c>
      <c r="O4" s="175"/>
      <c r="P4" s="176"/>
    </row>
    <row r="5" spans="1:18" s="4" customFormat="1" ht="12.75" thickBot="1" x14ac:dyDescent="0.3">
      <c r="A5" s="2"/>
      <c r="B5" s="36"/>
      <c r="C5" s="186"/>
      <c r="D5" s="188"/>
      <c r="E5" s="190"/>
      <c r="F5" s="190"/>
      <c r="G5" s="192"/>
      <c r="H5" s="192"/>
      <c r="I5" s="194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108" t="s">
        <v>53</v>
      </c>
      <c r="D6" s="109">
        <v>41775</v>
      </c>
      <c r="E6" s="110" t="s">
        <v>10</v>
      </c>
      <c r="F6" s="111" t="s">
        <v>10</v>
      </c>
      <c r="G6" s="112">
        <v>10</v>
      </c>
      <c r="H6" s="113">
        <v>24</v>
      </c>
      <c r="I6" s="114">
        <v>1</v>
      </c>
      <c r="J6" s="117">
        <v>49049.59</v>
      </c>
      <c r="K6" s="54">
        <v>4028</v>
      </c>
      <c r="L6" s="115">
        <f t="shared" ref="L6:L11" si="0">K6/H6</f>
        <v>167.83333333333334</v>
      </c>
      <c r="M6" s="116">
        <f t="shared" ref="M6:M11" si="1">+J6/K6</f>
        <v>12.177157398212511</v>
      </c>
      <c r="N6" s="94">
        <v>49049.59</v>
      </c>
      <c r="O6" s="119">
        <v>4028</v>
      </c>
      <c r="P6" s="118">
        <f t="shared" ref="P6:P11" si="2">N6/O6</f>
        <v>12.177157398212511</v>
      </c>
      <c r="Q6" s="25"/>
      <c r="R6" s="26"/>
    </row>
    <row r="7" spans="1:18" s="4" customFormat="1" ht="24" customHeight="1" x14ac:dyDescent="0.25">
      <c r="B7" s="79">
        <f t="shared" ref="B7:B11" si="3">B6+1</f>
        <v>2</v>
      </c>
      <c r="C7" s="80" t="s">
        <v>48</v>
      </c>
      <c r="D7" s="81">
        <v>41768</v>
      </c>
      <c r="E7" s="82" t="s">
        <v>10</v>
      </c>
      <c r="F7" s="83" t="s">
        <v>10</v>
      </c>
      <c r="G7" s="84">
        <v>22</v>
      </c>
      <c r="H7" s="85">
        <v>31</v>
      </c>
      <c r="I7" s="86">
        <v>2</v>
      </c>
      <c r="J7" s="87">
        <v>42293.760000000002</v>
      </c>
      <c r="K7" s="88">
        <v>4309</v>
      </c>
      <c r="L7" s="89">
        <f t="shared" si="0"/>
        <v>139</v>
      </c>
      <c r="M7" s="90">
        <f t="shared" si="1"/>
        <v>9.8152146669760967</v>
      </c>
      <c r="N7" s="91">
        <v>138330.92000000001</v>
      </c>
      <c r="O7" s="92">
        <v>14161</v>
      </c>
      <c r="P7" s="93">
        <f t="shared" si="2"/>
        <v>9.7684429065743945</v>
      </c>
      <c r="Q7" s="25"/>
      <c r="R7" s="26"/>
    </row>
    <row r="8" spans="1:18" s="4" customFormat="1" ht="24" customHeight="1" x14ac:dyDescent="0.25">
      <c r="B8" s="79">
        <f t="shared" si="3"/>
        <v>3</v>
      </c>
      <c r="C8" s="80" t="s">
        <v>36</v>
      </c>
      <c r="D8" s="81">
        <v>41740</v>
      </c>
      <c r="E8" s="82" t="s">
        <v>10</v>
      </c>
      <c r="F8" s="83" t="s">
        <v>10</v>
      </c>
      <c r="G8" s="84">
        <v>26</v>
      </c>
      <c r="H8" s="85">
        <v>13</v>
      </c>
      <c r="I8" s="86">
        <v>6</v>
      </c>
      <c r="J8" s="87">
        <v>18394.5</v>
      </c>
      <c r="K8" s="88">
        <v>2117</v>
      </c>
      <c r="L8" s="89">
        <f t="shared" si="0"/>
        <v>162.84615384615384</v>
      </c>
      <c r="M8" s="90">
        <f t="shared" si="1"/>
        <v>8.6889466225791221</v>
      </c>
      <c r="N8" s="91">
        <v>334003.61</v>
      </c>
      <c r="O8" s="92">
        <v>33742</v>
      </c>
      <c r="P8" s="93">
        <f t="shared" si="2"/>
        <v>9.8987496295418165</v>
      </c>
      <c r="Q8" s="25"/>
      <c r="R8" s="26"/>
    </row>
    <row r="9" spans="1:18" s="4" customFormat="1" ht="24" customHeight="1" x14ac:dyDescent="0.25">
      <c r="B9" s="79">
        <f t="shared" si="3"/>
        <v>4</v>
      </c>
      <c r="C9" s="80" t="s">
        <v>9</v>
      </c>
      <c r="D9" s="81">
        <v>41684</v>
      </c>
      <c r="E9" s="82" t="s">
        <v>10</v>
      </c>
      <c r="F9" s="83" t="s">
        <v>11</v>
      </c>
      <c r="G9" s="84">
        <v>76</v>
      </c>
      <c r="H9" s="85">
        <v>10</v>
      </c>
      <c r="I9" s="86">
        <v>14</v>
      </c>
      <c r="J9" s="87">
        <v>5322</v>
      </c>
      <c r="K9" s="88">
        <v>665</v>
      </c>
      <c r="L9" s="89">
        <f>K9/H9</f>
        <v>66.5</v>
      </c>
      <c r="M9" s="90">
        <f>+J9/K9</f>
        <v>8.0030075187969931</v>
      </c>
      <c r="N9" s="91">
        <v>804095.63</v>
      </c>
      <c r="O9" s="92">
        <v>87995</v>
      </c>
      <c r="P9" s="93">
        <f>N9/O9</f>
        <v>9.1379695437240755</v>
      </c>
      <c r="Q9" s="25"/>
      <c r="R9" s="26"/>
    </row>
    <row r="10" spans="1:18" s="4" customFormat="1" ht="24" customHeight="1" x14ac:dyDescent="0.25">
      <c r="B10" s="79">
        <f t="shared" si="3"/>
        <v>5</v>
      </c>
      <c r="C10" s="80" t="s">
        <v>33</v>
      </c>
      <c r="D10" s="81">
        <v>41726</v>
      </c>
      <c r="E10" s="82" t="s">
        <v>10</v>
      </c>
      <c r="F10" s="83" t="s">
        <v>10</v>
      </c>
      <c r="G10" s="84">
        <v>39</v>
      </c>
      <c r="H10" s="85">
        <v>7</v>
      </c>
      <c r="I10" s="86">
        <v>8</v>
      </c>
      <c r="J10" s="87">
        <v>4781</v>
      </c>
      <c r="K10" s="88">
        <v>691</v>
      </c>
      <c r="L10" s="89">
        <f t="shared" si="0"/>
        <v>98.714285714285708</v>
      </c>
      <c r="M10" s="90">
        <f t="shared" si="1"/>
        <v>6.9189580318379162</v>
      </c>
      <c r="N10" s="91">
        <v>336002.35</v>
      </c>
      <c r="O10" s="92">
        <v>30584</v>
      </c>
      <c r="P10" s="93">
        <f t="shared" si="2"/>
        <v>10.986213379544859</v>
      </c>
      <c r="Q10" s="25"/>
      <c r="R10" s="26"/>
    </row>
    <row r="11" spans="1:18" s="4" customFormat="1" ht="24" customHeight="1" thickBot="1" x14ac:dyDescent="0.3">
      <c r="B11" s="11">
        <f t="shared" si="3"/>
        <v>6</v>
      </c>
      <c r="C11" s="95" t="s">
        <v>41</v>
      </c>
      <c r="D11" s="96">
        <v>41747</v>
      </c>
      <c r="E11" s="97" t="s">
        <v>10</v>
      </c>
      <c r="F11" s="98" t="s">
        <v>10</v>
      </c>
      <c r="G11" s="99">
        <v>27</v>
      </c>
      <c r="H11" s="100">
        <v>6</v>
      </c>
      <c r="I11" s="101">
        <v>5</v>
      </c>
      <c r="J11" s="104">
        <v>2235.5</v>
      </c>
      <c r="K11" s="66">
        <v>272</v>
      </c>
      <c r="L11" s="102">
        <f t="shared" si="0"/>
        <v>45.333333333333336</v>
      </c>
      <c r="M11" s="103">
        <f t="shared" si="1"/>
        <v>8.21875</v>
      </c>
      <c r="N11" s="105">
        <v>272702.49</v>
      </c>
      <c r="O11" s="106">
        <v>26015</v>
      </c>
      <c r="P11" s="107">
        <f t="shared" si="2"/>
        <v>10.482509705938881</v>
      </c>
      <c r="Q11" s="25"/>
      <c r="R11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77" t="s">
        <v>14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34" t="s">
        <v>17</v>
      </c>
      <c r="O2" s="181" t="s">
        <v>49</v>
      </c>
      <c r="P2" s="182"/>
    </row>
    <row r="3" spans="1:18" ht="30.75" customHeight="1" thickBot="1" x14ac:dyDescent="0.3"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35" t="s">
        <v>45</v>
      </c>
      <c r="O3" s="183" t="s">
        <v>50</v>
      </c>
      <c r="P3" s="184"/>
    </row>
    <row r="4" spans="1:18" s="4" customFormat="1" ht="16.5" customHeight="1" x14ac:dyDescent="0.25">
      <c r="A4" s="2"/>
      <c r="B4" s="3"/>
      <c r="C4" s="185" t="s">
        <v>0</v>
      </c>
      <c r="D4" s="187" t="s">
        <v>1</v>
      </c>
      <c r="E4" s="189" t="s">
        <v>2</v>
      </c>
      <c r="F4" s="189" t="s">
        <v>3</v>
      </c>
      <c r="G4" s="191" t="s">
        <v>4</v>
      </c>
      <c r="H4" s="191" t="s">
        <v>5</v>
      </c>
      <c r="I4" s="193" t="s">
        <v>13</v>
      </c>
      <c r="J4" s="172" t="s">
        <v>15</v>
      </c>
      <c r="K4" s="173"/>
      <c r="L4" s="173"/>
      <c r="M4" s="174"/>
      <c r="N4" s="172" t="s">
        <v>16</v>
      </c>
      <c r="O4" s="175"/>
      <c r="P4" s="176"/>
    </row>
    <row r="5" spans="1:18" s="4" customFormat="1" ht="12.75" thickBot="1" x14ac:dyDescent="0.3">
      <c r="A5" s="2"/>
      <c r="B5" s="36"/>
      <c r="C5" s="186"/>
      <c r="D5" s="188"/>
      <c r="E5" s="190"/>
      <c r="F5" s="190"/>
      <c r="G5" s="192"/>
      <c r="H5" s="192"/>
      <c r="I5" s="194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108" t="s">
        <v>48</v>
      </c>
      <c r="D6" s="109">
        <v>41768</v>
      </c>
      <c r="E6" s="110" t="s">
        <v>10</v>
      </c>
      <c r="F6" s="111" t="s">
        <v>10</v>
      </c>
      <c r="G6" s="112">
        <v>22</v>
      </c>
      <c r="H6" s="113">
        <v>39</v>
      </c>
      <c r="I6" s="114">
        <v>1</v>
      </c>
      <c r="J6" s="117">
        <v>96037.16</v>
      </c>
      <c r="K6" s="54">
        <v>9852</v>
      </c>
      <c r="L6" s="115">
        <f t="shared" ref="L6:L11" si="0">K6/H6</f>
        <v>252.61538461538461</v>
      </c>
      <c r="M6" s="116">
        <f t="shared" ref="M6:M11" si="1">+J6/K6</f>
        <v>9.7479861956963063</v>
      </c>
      <c r="N6" s="94">
        <v>96037.16</v>
      </c>
      <c r="O6" s="119">
        <v>9852</v>
      </c>
      <c r="P6" s="118">
        <f t="shared" ref="P6:P11" si="2">N6/O6</f>
        <v>9.7479861956963063</v>
      </c>
      <c r="Q6" s="25"/>
      <c r="R6" s="26"/>
    </row>
    <row r="7" spans="1:18" s="4" customFormat="1" ht="24" customHeight="1" x14ac:dyDescent="0.25">
      <c r="B7" s="79">
        <f t="shared" ref="B7:B11" si="3">B6+1</f>
        <v>2</v>
      </c>
      <c r="C7" s="80" t="s">
        <v>36</v>
      </c>
      <c r="D7" s="81">
        <v>41740</v>
      </c>
      <c r="E7" s="82" t="s">
        <v>10</v>
      </c>
      <c r="F7" s="83" t="s">
        <v>10</v>
      </c>
      <c r="G7" s="84">
        <v>26</v>
      </c>
      <c r="H7" s="85">
        <v>14</v>
      </c>
      <c r="I7" s="86">
        <v>5</v>
      </c>
      <c r="J7" s="87">
        <v>21068.799999999999</v>
      </c>
      <c r="K7" s="88">
        <v>2588</v>
      </c>
      <c r="L7" s="89">
        <f t="shared" si="0"/>
        <v>184.85714285714286</v>
      </c>
      <c r="M7" s="90">
        <f t="shared" si="1"/>
        <v>8.1409582689335398</v>
      </c>
      <c r="N7" s="91">
        <v>315609.11</v>
      </c>
      <c r="O7" s="92">
        <v>31625</v>
      </c>
      <c r="P7" s="93">
        <f t="shared" si="2"/>
        <v>9.9797347035573125</v>
      </c>
      <c r="Q7" s="25"/>
      <c r="R7" s="26"/>
    </row>
    <row r="8" spans="1:18" s="4" customFormat="1" ht="24" customHeight="1" x14ac:dyDescent="0.25">
      <c r="B8" s="79">
        <f t="shared" si="3"/>
        <v>3</v>
      </c>
      <c r="C8" s="80" t="s">
        <v>33</v>
      </c>
      <c r="D8" s="81">
        <v>41726</v>
      </c>
      <c r="E8" s="82" t="s">
        <v>10</v>
      </c>
      <c r="F8" s="83" t="s">
        <v>10</v>
      </c>
      <c r="G8" s="84">
        <v>39</v>
      </c>
      <c r="H8" s="85">
        <v>7</v>
      </c>
      <c r="I8" s="86">
        <v>7</v>
      </c>
      <c r="J8" s="87">
        <v>7225.5</v>
      </c>
      <c r="K8" s="88">
        <v>776</v>
      </c>
      <c r="L8" s="89">
        <f t="shared" si="0"/>
        <v>110.85714285714286</v>
      </c>
      <c r="M8" s="90">
        <f t="shared" si="1"/>
        <v>9.3112113402061851</v>
      </c>
      <c r="N8" s="91">
        <v>331221.34999999998</v>
      </c>
      <c r="O8" s="92">
        <v>29893</v>
      </c>
      <c r="P8" s="93">
        <f t="shared" si="2"/>
        <v>11.080231157796138</v>
      </c>
      <c r="Q8" s="25"/>
      <c r="R8" s="26"/>
    </row>
    <row r="9" spans="1:18" s="4" customFormat="1" ht="24" customHeight="1" x14ac:dyDescent="0.25">
      <c r="B9" s="79">
        <f t="shared" si="3"/>
        <v>4</v>
      </c>
      <c r="C9" s="80" t="s">
        <v>9</v>
      </c>
      <c r="D9" s="81">
        <v>41684</v>
      </c>
      <c r="E9" s="82" t="s">
        <v>10</v>
      </c>
      <c r="F9" s="83" t="s">
        <v>11</v>
      </c>
      <c r="G9" s="84">
        <v>76</v>
      </c>
      <c r="H9" s="85">
        <v>7</v>
      </c>
      <c r="I9" s="86">
        <v>13</v>
      </c>
      <c r="J9" s="87">
        <v>4561.58</v>
      </c>
      <c r="K9" s="88">
        <v>656</v>
      </c>
      <c r="L9" s="89">
        <f t="shared" si="0"/>
        <v>93.714285714285708</v>
      </c>
      <c r="M9" s="90">
        <f t="shared" si="1"/>
        <v>6.9536280487804873</v>
      </c>
      <c r="N9" s="91">
        <v>798773.63</v>
      </c>
      <c r="O9" s="92">
        <v>87330</v>
      </c>
      <c r="P9" s="93">
        <f t="shared" si="2"/>
        <v>9.146612046261307</v>
      </c>
      <c r="Q9" s="25"/>
      <c r="R9" s="26"/>
    </row>
    <row r="10" spans="1:18" s="4" customFormat="1" ht="24" customHeight="1" x14ac:dyDescent="0.25">
      <c r="B10" s="79">
        <f t="shared" si="3"/>
        <v>5</v>
      </c>
      <c r="C10" s="80" t="s">
        <v>41</v>
      </c>
      <c r="D10" s="81">
        <v>41747</v>
      </c>
      <c r="E10" s="82" t="s">
        <v>10</v>
      </c>
      <c r="F10" s="83" t="s">
        <v>10</v>
      </c>
      <c r="G10" s="84">
        <v>27</v>
      </c>
      <c r="H10" s="85">
        <v>10</v>
      </c>
      <c r="I10" s="86">
        <v>4</v>
      </c>
      <c r="J10" s="87">
        <v>3137.5</v>
      </c>
      <c r="K10" s="88">
        <v>384</v>
      </c>
      <c r="L10" s="89">
        <f t="shared" si="0"/>
        <v>38.4</v>
      </c>
      <c r="M10" s="90">
        <f t="shared" si="1"/>
        <v>8.1705729166666661</v>
      </c>
      <c r="N10" s="91">
        <v>270466.99</v>
      </c>
      <c r="O10" s="92">
        <v>25743</v>
      </c>
      <c r="P10" s="93">
        <f t="shared" si="2"/>
        <v>10.506428543681777</v>
      </c>
      <c r="Q10" s="25"/>
      <c r="R10" s="26"/>
    </row>
    <row r="11" spans="1:18" s="4" customFormat="1" ht="24" customHeight="1" thickBot="1" x14ac:dyDescent="0.3">
      <c r="B11" s="11">
        <f t="shared" si="3"/>
        <v>6</v>
      </c>
      <c r="C11" s="95" t="s">
        <v>44</v>
      </c>
      <c r="D11" s="96">
        <v>41754</v>
      </c>
      <c r="E11" s="97" t="s">
        <v>10</v>
      </c>
      <c r="F11" s="98" t="s">
        <v>10</v>
      </c>
      <c r="G11" s="99">
        <v>7</v>
      </c>
      <c r="H11" s="100">
        <v>1</v>
      </c>
      <c r="I11" s="101">
        <v>3</v>
      </c>
      <c r="J11" s="104">
        <v>321</v>
      </c>
      <c r="K11" s="66">
        <v>28</v>
      </c>
      <c r="L11" s="102">
        <f t="shared" si="0"/>
        <v>28</v>
      </c>
      <c r="M11" s="103">
        <f t="shared" si="1"/>
        <v>11.464285714285714</v>
      </c>
      <c r="N11" s="105">
        <v>77720.59</v>
      </c>
      <c r="O11" s="106">
        <v>6435</v>
      </c>
      <c r="P11" s="107">
        <f t="shared" si="2"/>
        <v>12.077791763791764</v>
      </c>
      <c r="Q11" s="25"/>
      <c r="R11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77" t="s">
        <v>14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34" t="s">
        <v>17</v>
      </c>
      <c r="O2" s="181" t="s">
        <v>46</v>
      </c>
      <c r="P2" s="182"/>
    </row>
    <row r="3" spans="1:18" ht="30.75" customHeight="1" thickBot="1" x14ac:dyDescent="0.3"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35" t="s">
        <v>45</v>
      </c>
      <c r="O3" s="183" t="s">
        <v>47</v>
      </c>
      <c r="P3" s="184"/>
    </row>
    <row r="4" spans="1:18" s="4" customFormat="1" ht="16.5" customHeight="1" x14ac:dyDescent="0.25">
      <c r="A4" s="2"/>
      <c r="B4" s="3"/>
      <c r="C4" s="185" t="s">
        <v>0</v>
      </c>
      <c r="D4" s="187" t="s">
        <v>1</v>
      </c>
      <c r="E4" s="189" t="s">
        <v>2</v>
      </c>
      <c r="F4" s="189" t="s">
        <v>3</v>
      </c>
      <c r="G4" s="191" t="s">
        <v>4</v>
      </c>
      <c r="H4" s="191" t="s">
        <v>5</v>
      </c>
      <c r="I4" s="193" t="s">
        <v>13</v>
      </c>
      <c r="J4" s="172" t="s">
        <v>15</v>
      </c>
      <c r="K4" s="173"/>
      <c r="L4" s="173"/>
      <c r="M4" s="174"/>
      <c r="N4" s="172" t="s">
        <v>16</v>
      </c>
      <c r="O4" s="175"/>
      <c r="P4" s="176"/>
    </row>
    <row r="5" spans="1:18" s="4" customFormat="1" ht="12.75" thickBot="1" x14ac:dyDescent="0.3">
      <c r="A5" s="2"/>
      <c r="B5" s="36"/>
      <c r="C5" s="186"/>
      <c r="D5" s="188"/>
      <c r="E5" s="190"/>
      <c r="F5" s="190"/>
      <c r="G5" s="192"/>
      <c r="H5" s="192"/>
      <c r="I5" s="194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36</v>
      </c>
      <c r="D6" s="50">
        <v>41740</v>
      </c>
      <c r="E6" s="51" t="s">
        <v>10</v>
      </c>
      <c r="F6" s="74" t="s">
        <v>10</v>
      </c>
      <c r="G6" s="52">
        <v>26</v>
      </c>
      <c r="H6" s="53">
        <v>11</v>
      </c>
      <c r="I6" s="75">
        <v>4</v>
      </c>
      <c r="J6" s="76">
        <v>23601.43</v>
      </c>
      <c r="K6" s="54">
        <v>2521</v>
      </c>
      <c r="L6" s="55">
        <f>K6/H6</f>
        <v>229.18181818181819</v>
      </c>
      <c r="M6" s="77">
        <f>+J6/K6</f>
        <v>9.3619317731059102</v>
      </c>
      <c r="N6" s="78">
        <v>294540.31</v>
      </c>
      <c r="O6" s="56">
        <v>29037</v>
      </c>
      <c r="P6" s="57">
        <f>N6/O6</f>
        <v>10.143620553087439</v>
      </c>
      <c r="Q6" s="25"/>
      <c r="R6" s="26"/>
    </row>
    <row r="7" spans="1:18" s="4" customFormat="1" ht="24" customHeight="1" x14ac:dyDescent="0.25">
      <c r="B7" s="79">
        <f t="shared" ref="B7:B10" si="0">B6+1</f>
        <v>2</v>
      </c>
      <c r="C7" s="80" t="s">
        <v>44</v>
      </c>
      <c r="D7" s="81">
        <v>41754</v>
      </c>
      <c r="E7" s="82" t="s">
        <v>10</v>
      </c>
      <c r="F7" s="83" t="s">
        <v>10</v>
      </c>
      <c r="G7" s="84">
        <v>7</v>
      </c>
      <c r="H7" s="85">
        <v>12</v>
      </c>
      <c r="I7" s="86">
        <v>2</v>
      </c>
      <c r="J7" s="87">
        <v>17202</v>
      </c>
      <c r="K7" s="88">
        <v>1383</v>
      </c>
      <c r="L7" s="89">
        <f>K7/H7</f>
        <v>115.25</v>
      </c>
      <c r="M7" s="90">
        <f>+J7/K7</f>
        <v>12.43817787418655</v>
      </c>
      <c r="N7" s="91">
        <v>77399.59</v>
      </c>
      <c r="O7" s="92">
        <v>6407</v>
      </c>
      <c r="P7" s="93">
        <f>N7/O7</f>
        <v>12.080472920243484</v>
      </c>
      <c r="Q7" s="25"/>
      <c r="R7" s="26"/>
    </row>
    <row r="8" spans="1:18" s="4" customFormat="1" ht="24" customHeight="1" x14ac:dyDescent="0.25">
      <c r="B8" s="79">
        <f t="shared" si="0"/>
        <v>3</v>
      </c>
      <c r="C8" s="80" t="s">
        <v>9</v>
      </c>
      <c r="D8" s="81">
        <v>41684</v>
      </c>
      <c r="E8" s="82" t="s">
        <v>10</v>
      </c>
      <c r="F8" s="83" t="s">
        <v>11</v>
      </c>
      <c r="G8" s="84">
        <v>76</v>
      </c>
      <c r="H8" s="85">
        <v>15</v>
      </c>
      <c r="I8" s="86">
        <v>12</v>
      </c>
      <c r="J8" s="87">
        <v>10315.86</v>
      </c>
      <c r="K8" s="88">
        <v>1395</v>
      </c>
      <c r="L8" s="89">
        <f>K8/H8</f>
        <v>93</v>
      </c>
      <c r="M8" s="90">
        <f>+J8/K8</f>
        <v>7.3948817204301083</v>
      </c>
      <c r="N8" s="91">
        <v>794212.05</v>
      </c>
      <c r="O8" s="92">
        <v>86674</v>
      </c>
      <c r="P8" s="93">
        <f>N8/O8</f>
        <v>9.1632098437824503</v>
      </c>
      <c r="Q8" s="25"/>
      <c r="R8" s="26"/>
    </row>
    <row r="9" spans="1:18" s="4" customFormat="1" ht="24" customHeight="1" x14ac:dyDescent="0.25">
      <c r="B9" s="79">
        <f t="shared" si="0"/>
        <v>4</v>
      </c>
      <c r="C9" s="80" t="s">
        <v>41</v>
      </c>
      <c r="D9" s="81">
        <v>41747</v>
      </c>
      <c r="E9" s="82" t="s">
        <v>10</v>
      </c>
      <c r="F9" s="83" t="s">
        <v>10</v>
      </c>
      <c r="G9" s="84">
        <v>27</v>
      </c>
      <c r="H9" s="85">
        <v>16</v>
      </c>
      <c r="I9" s="86">
        <v>3</v>
      </c>
      <c r="J9" s="87">
        <v>7974.97</v>
      </c>
      <c r="K9" s="88">
        <v>897</v>
      </c>
      <c r="L9" s="89">
        <f>K9/H9</f>
        <v>56.0625</v>
      </c>
      <c r="M9" s="90">
        <f t="shared" ref="M9:M10" si="1">+J9/K9</f>
        <v>8.8907134894091424</v>
      </c>
      <c r="N9" s="91">
        <v>267329.49</v>
      </c>
      <c r="O9" s="92">
        <v>25359</v>
      </c>
      <c r="P9" s="93">
        <f t="shared" ref="P9:P10" si="2">N9/O9</f>
        <v>10.541799361173547</v>
      </c>
      <c r="Q9" s="25"/>
      <c r="R9" s="26"/>
    </row>
    <row r="10" spans="1:18" s="4" customFormat="1" ht="24" customHeight="1" thickBot="1" x14ac:dyDescent="0.3">
      <c r="B10" s="11">
        <f t="shared" si="0"/>
        <v>5</v>
      </c>
      <c r="C10" s="58" t="s">
        <v>33</v>
      </c>
      <c r="D10" s="59">
        <v>41726</v>
      </c>
      <c r="E10" s="60" t="s">
        <v>10</v>
      </c>
      <c r="F10" s="61" t="s">
        <v>10</v>
      </c>
      <c r="G10" s="62">
        <v>39</v>
      </c>
      <c r="H10" s="63">
        <v>8</v>
      </c>
      <c r="I10" s="64">
        <v>6</v>
      </c>
      <c r="J10" s="65">
        <v>7582.5</v>
      </c>
      <c r="K10" s="66">
        <v>837</v>
      </c>
      <c r="L10" s="67">
        <f t="shared" ref="L10" si="3">K10/H10</f>
        <v>104.625</v>
      </c>
      <c r="M10" s="68">
        <f t="shared" si="1"/>
        <v>9.0591397849462361</v>
      </c>
      <c r="N10" s="69">
        <v>323995.84999999998</v>
      </c>
      <c r="O10" s="70">
        <v>29117</v>
      </c>
      <c r="P10" s="71">
        <f t="shared" si="2"/>
        <v>11.127377477075248</v>
      </c>
      <c r="Q10" s="25"/>
      <c r="R10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77" t="s">
        <v>14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34" t="s">
        <v>17</v>
      </c>
      <c r="O2" s="181" t="s">
        <v>42</v>
      </c>
      <c r="P2" s="182"/>
    </row>
    <row r="3" spans="1:18" ht="30.75" customHeight="1" thickBot="1" x14ac:dyDescent="0.3"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35" t="s">
        <v>45</v>
      </c>
      <c r="O3" s="183" t="s">
        <v>43</v>
      </c>
      <c r="P3" s="184"/>
    </row>
    <row r="4" spans="1:18" s="4" customFormat="1" ht="16.5" customHeight="1" x14ac:dyDescent="0.25">
      <c r="A4" s="2"/>
      <c r="B4" s="3"/>
      <c r="C4" s="185" t="s">
        <v>0</v>
      </c>
      <c r="D4" s="187" t="s">
        <v>1</v>
      </c>
      <c r="E4" s="189" t="s">
        <v>2</v>
      </c>
      <c r="F4" s="189" t="s">
        <v>3</v>
      </c>
      <c r="G4" s="191" t="s">
        <v>4</v>
      </c>
      <c r="H4" s="191" t="s">
        <v>5</v>
      </c>
      <c r="I4" s="193" t="s">
        <v>13</v>
      </c>
      <c r="J4" s="172" t="s">
        <v>15</v>
      </c>
      <c r="K4" s="173"/>
      <c r="L4" s="173"/>
      <c r="M4" s="174"/>
      <c r="N4" s="172" t="s">
        <v>16</v>
      </c>
      <c r="O4" s="175"/>
      <c r="P4" s="176"/>
    </row>
    <row r="5" spans="1:18" s="4" customFormat="1" ht="12.75" thickBot="1" x14ac:dyDescent="0.3">
      <c r="A5" s="2"/>
      <c r="B5" s="36"/>
      <c r="C5" s="186"/>
      <c r="D5" s="188"/>
      <c r="E5" s="190"/>
      <c r="F5" s="190"/>
      <c r="G5" s="192"/>
      <c r="H5" s="192"/>
      <c r="I5" s="194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41</v>
      </c>
      <c r="D6" s="50">
        <v>41747</v>
      </c>
      <c r="E6" s="51" t="s">
        <v>10</v>
      </c>
      <c r="F6" s="74" t="s">
        <v>10</v>
      </c>
      <c r="G6" s="52">
        <v>27</v>
      </c>
      <c r="H6" s="53">
        <v>38</v>
      </c>
      <c r="I6" s="75">
        <v>2</v>
      </c>
      <c r="J6" s="76">
        <v>73200.86</v>
      </c>
      <c r="K6" s="54">
        <v>6634</v>
      </c>
      <c r="L6" s="55">
        <f>K6/H6</f>
        <v>174.57894736842104</v>
      </c>
      <c r="M6" s="77">
        <f t="shared" ref="M6:M10" si="0">+J6/K6</f>
        <v>11.034196563159481</v>
      </c>
      <c r="N6" s="78">
        <v>259354.52</v>
      </c>
      <c r="O6" s="56">
        <v>24462</v>
      </c>
      <c r="P6" s="57">
        <f t="shared" ref="P6:P10" si="1">N6/O6</f>
        <v>10.602343226228436</v>
      </c>
      <c r="Q6" s="25"/>
      <c r="R6" s="26"/>
    </row>
    <row r="7" spans="1:18" s="4" customFormat="1" ht="24" customHeight="1" x14ac:dyDescent="0.25">
      <c r="B7" s="79">
        <f t="shared" ref="B7:B10" si="2">B6+1</f>
        <v>2</v>
      </c>
      <c r="C7" s="80" t="s">
        <v>44</v>
      </c>
      <c r="D7" s="81">
        <v>41754</v>
      </c>
      <c r="E7" s="82" t="s">
        <v>10</v>
      </c>
      <c r="F7" s="83" t="s">
        <v>10</v>
      </c>
      <c r="G7" s="84">
        <v>7</v>
      </c>
      <c r="H7" s="85">
        <v>15</v>
      </c>
      <c r="I7" s="86">
        <v>1</v>
      </c>
      <c r="J7" s="87">
        <v>60197.59</v>
      </c>
      <c r="K7" s="88">
        <v>5024</v>
      </c>
      <c r="L7" s="89">
        <f t="shared" ref="L7" si="3">K7/H7</f>
        <v>334.93333333333334</v>
      </c>
      <c r="M7" s="90">
        <f t="shared" ref="M7" si="4">+J7/K7</f>
        <v>11.982004378980891</v>
      </c>
      <c r="N7" s="91">
        <v>60197.59</v>
      </c>
      <c r="O7" s="92">
        <v>5024</v>
      </c>
      <c r="P7" s="93">
        <f t="shared" ref="P7" si="5">N7/O7</f>
        <v>11.982004378980891</v>
      </c>
      <c r="Q7" s="25"/>
      <c r="R7" s="26"/>
    </row>
    <row r="8" spans="1:18" s="4" customFormat="1" ht="24" customHeight="1" x14ac:dyDescent="0.25">
      <c r="B8" s="79">
        <f t="shared" si="2"/>
        <v>3</v>
      </c>
      <c r="C8" s="80" t="s">
        <v>36</v>
      </c>
      <c r="D8" s="81">
        <v>41740</v>
      </c>
      <c r="E8" s="82" t="s">
        <v>10</v>
      </c>
      <c r="F8" s="83" t="s">
        <v>10</v>
      </c>
      <c r="G8" s="84">
        <v>26</v>
      </c>
      <c r="H8" s="85">
        <v>15</v>
      </c>
      <c r="I8" s="86">
        <v>3</v>
      </c>
      <c r="J8" s="87">
        <v>37084.43</v>
      </c>
      <c r="K8" s="88">
        <v>3812</v>
      </c>
      <c r="L8" s="89">
        <f t="shared" ref="L8:L10" si="6">K8/H8</f>
        <v>254.13333333333333</v>
      </c>
      <c r="M8" s="90">
        <f t="shared" si="0"/>
        <v>9.7283394543546695</v>
      </c>
      <c r="N8" s="91">
        <v>270938.88</v>
      </c>
      <c r="O8" s="92">
        <v>26516</v>
      </c>
      <c r="P8" s="93">
        <f t="shared" si="1"/>
        <v>10.217939357369136</v>
      </c>
      <c r="Q8" s="25"/>
      <c r="R8" s="26"/>
    </row>
    <row r="9" spans="1:18" s="4" customFormat="1" ht="24" customHeight="1" x14ac:dyDescent="0.25">
      <c r="B9" s="79">
        <f t="shared" si="2"/>
        <v>4</v>
      </c>
      <c r="C9" s="80" t="s">
        <v>9</v>
      </c>
      <c r="D9" s="81">
        <v>41684</v>
      </c>
      <c r="E9" s="82" t="s">
        <v>10</v>
      </c>
      <c r="F9" s="83" t="s">
        <v>11</v>
      </c>
      <c r="G9" s="84">
        <v>76</v>
      </c>
      <c r="H9" s="85">
        <v>9</v>
      </c>
      <c r="I9" s="86">
        <v>11</v>
      </c>
      <c r="J9" s="87">
        <v>9039</v>
      </c>
      <c r="K9" s="88">
        <v>1343</v>
      </c>
      <c r="L9" s="89">
        <f t="shared" si="6"/>
        <v>149.22222222222223</v>
      </c>
      <c r="M9" s="90">
        <f t="shared" si="0"/>
        <v>6.730454206999255</v>
      </c>
      <c r="N9" s="91">
        <v>783896.19</v>
      </c>
      <c r="O9" s="92">
        <v>85279</v>
      </c>
      <c r="P9" s="93">
        <f t="shared" si="1"/>
        <v>9.1921362820858583</v>
      </c>
      <c r="Q9" s="25"/>
      <c r="R9" s="26"/>
    </row>
    <row r="10" spans="1:18" s="4" customFormat="1" ht="24" customHeight="1" thickBot="1" x14ac:dyDescent="0.3">
      <c r="B10" s="11">
        <f t="shared" si="2"/>
        <v>5</v>
      </c>
      <c r="C10" s="58" t="s">
        <v>33</v>
      </c>
      <c r="D10" s="59">
        <v>41726</v>
      </c>
      <c r="E10" s="60" t="s">
        <v>10</v>
      </c>
      <c r="F10" s="61" t="s">
        <v>10</v>
      </c>
      <c r="G10" s="62">
        <v>39</v>
      </c>
      <c r="H10" s="63">
        <v>7</v>
      </c>
      <c r="I10" s="64">
        <v>5</v>
      </c>
      <c r="J10" s="65">
        <v>8300</v>
      </c>
      <c r="K10" s="66">
        <v>887</v>
      </c>
      <c r="L10" s="67">
        <f t="shared" si="6"/>
        <v>126.71428571428571</v>
      </c>
      <c r="M10" s="68">
        <f t="shared" si="0"/>
        <v>9.3573844419391214</v>
      </c>
      <c r="N10" s="69">
        <v>316413.34999999998</v>
      </c>
      <c r="O10" s="70">
        <v>28280</v>
      </c>
      <c r="P10" s="71">
        <f t="shared" si="1"/>
        <v>11.188590876944836</v>
      </c>
      <c r="Q10" s="25"/>
      <c r="R10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77" t="s">
        <v>14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34" t="s">
        <v>17</v>
      </c>
      <c r="O2" s="181" t="s">
        <v>39</v>
      </c>
      <c r="P2" s="182"/>
    </row>
    <row r="3" spans="1:18" ht="30.75" customHeight="1" thickBot="1" x14ac:dyDescent="0.3"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35" t="s">
        <v>45</v>
      </c>
      <c r="O3" s="183" t="s">
        <v>40</v>
      </c>
      <c r="P3" s="184"/>
    </row>
    <row r="4" spans="1:18" s="4" customFormat="1" ht="16.5" customHeight="1" x14ac:dyDescent="0.25">
      <c r="A4" s="2"/>
      <c r="B4" s="3"/>
      <c r="C4" s="185" t="s">
        <v>0</v>
      </c>
      <c r="D4" s="187" t="s">
        <v>1</v>
      </c>
      <c r="E4" s="189" t="s">
        <v>2</v>
      </c>
      <c r="F4" s="189" t="s">
        <v>3</v>
      </c>
      <c r="G4" s="191" t="s">
        <v>4</v>
      </c>
      <c r="H4" s="191" t="s">
        <v>5</v>
      </c>
      <c r="I4" s="193" t="s">
        <v>13</v>
      </c>
      <c r="J4" s="172" t="s">
        <v>15</v>
      </c>
      <c r="K4" s="173"/>
      <c r="L4" s="173"/>
      <c r="M4" s="174"/>
      <c r="N4" s="172" t="s">
        <v>16</v>
      </c>
      <c r="O4" s="175"/>
      <c r="P4" s="176"/>
    </row>
    <row r="5" spans="1:18" s="4" customFormat="1" ht="12.75" thickBot="1" x14ac:dyDescent="0.3">
      <c r="A5" s="2"/>
      <c r="B5" s="36"/>
      <c r="C5" s="186"/>
      <c r="D5" s="188"/>
      <c r="E5" s="190"/>
      <c r="F5" s="190"/>
      <c r="G5" s="192"/>
      <c r="H5" s="192"/>
      <c r="I5" s="194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41</v>
      </c>
      <c r="D6" s="50">
        <v>41747</v>
      </c>
      <c r="E6" s="51" t="s">
        <v>10</v>
      </c>
      <c r="F6" s="74" t="s">
        <v>10</v>
      </c>
      <c r="G6" s="52">
        <v>27</v>
      </c>
      <c r="H6" s="53">
        <v>56</v>
      </c>
      <c r="I6" s="75">
        <v>1</v>
      </c>
      <c r="J6" s="76">
        <v>186153.66</v>
      </c>
      <c r="K6" s="54">
        <v>17828</v>
      </c>
      <c r="L6" s="55">
        <f>K6/H6</f>
        <v>318.35714285714283</v>
      </c>
      <c r="M6" s="77">
        <f t="shared" ref="M6:M9" si="0">+J6/K6</f>
        <v>10.441645725824547</v>
      </c>
      <c r="N6" s="78">
        <v>186153.66</v>
      </c>
      <c r="O6" s="56">
        <v>17828</v>
      </c>
      <c r="P6" s="57">
        <f t="shared" ref="P6:P9" si="1">N6/O6</f>
        <v>10.441645725824547</v>
      </c>
      <c r="Q6" s="25"/>
      <c r="R6" s="26"/>
    </row>
    <row r="7" spans="1:18" s="4" customFormat="1" ht="24" customHeight="1" x14ac:dyDescent="0.25">
      <c r="B7" s="79">
        <f t="shared" ref="B7:B9" si="2">B6+1</f>
        <v>2</v>
      </c>
      <c r="C7" s="80" t="s">
        <v>36</v>
      </c>
      <c r="D7" s="81">
        <v>41740</v>
      </c>
      <c r="E7" s="82" t="s">
        <v>10</v>
      </c>
      <c r="F7" s="83" t="s">
        <v>10</v>
      </c>
      <c r="G7" s="84">
        <v>26</v>
      </c>
      <c r="H7" s="85">
        <v>34</v>
      </c>
      <c r="I7" s="86">
        <v>2</v>
      </c>
      <c r="J7" s="87">
        <v>108052.78</v>
      </c>
      <c r="K7" s="88">
        <v>10389</v>
      </c>
      <c r="L7" s="89">
        <f t="shared" ref="L7" si="3">K7/H7</f>
        <v>305.55882352941177</v>
      </c>
      <c r="M7" s="90">
        <f t="shared" ref="M7" si="4">+J7/K7</f>
        <v>10.400691115603042</v>
      </c>
      <c r="N7" s="91">
        <v>233854.45</v>
      </c>
      <c r="O7" s="92">
        <v>22704</v>
      </c>
      <c r="P7" s="93">
        <f t="shared" si="1"/>
        <v>10.300143146582101</v>
      </c>
      <c r="Q7" s="25"/>
      <c r="R7" s="26"/>
    </row>
    <row r="8" spans="1:18" s="4" customFormat="1" ht="24" customHeight="1" x14ac:dyDescent="0.25">
      <c r="B8" s="79">
        <f t="shared" si="2"/>
        <v>3</v>
      </c>
      <c r="C8" s="80" t="s">
        <v>9</v>
      </c>
      <c r="D8" s="81">
        <v>41684</v>
      </c>
      <c r="E8" s="82" t="s">
        <v>10</v>
      </c>
      <c r="F8" s="83" t="s">
        <v>11</v>
      </c>
      <c r="G8" s="84">
        <v>76</v>
      </c>
      <c r="H8" s="85">
        <v>7</v>
      </c>
      <c r="I8" s="86">
        <v>10</v>
      </c>
      <c r="J8" s="87">
        <v>11928.5</v>
      </c>
      <c r="K8" s="88">
        <v>1510</v>
      </c>
      <c r="L8" s="89">
        <f t="shared" ref="L8:L9" si="5">K8/H8</f>
        <v>215.71428571428572</v>
      </c>
      <c r="M8" s="90">
        <f t="shared" si="0"/>
        <v>7.8996688741721854</v>
      </c>
      <c r="N8" s="91">
        <v>774857.19</v>
      </c>
      <c r="O8" s="92">
        <v>83936</v>
      </c>
      <c r="P8" s="93">
        <f t="shared" si="1"/>
        <v>9.2315238991612656</v>
      </c>
      <c r="Q8" s="25"/>
      <c r="R8" s="26"/>
    </row>
    <row r="9" spans="1:18" s="4" customFormat="1" ht="24" customHeight="1" thickBot="1" x14ac:dyDescent="0.3">
      <c r="B9" s="11">
        <f t="shared" si="2"/>
        <v>4</v>
      </c>
      <c r="C9" s="58" t="s">
        <v>33</v>
      </c>
      <c r="D9" s="59">
        <v>41726</v>
      </c>
      <c r="E9" s="60" t="s">
        <v>10</v>
      </c>
      <c r="F9" s="61" t="s">
        <v>10</v>
      </c>
      <c r="G9" s="62">
        <v>39</v>
      </c>
      <c r="H9" s="63">
        <v>7</v>
      </c>
      <c r="I9" s="64">
        <v>4</v>
      </c>
      <c r="J9" s="65">
        <v>9347</v>
      </c>
      <c r="K9" s="66">
        <v>930</v>
      </c>
      <c r="L9" s="67">
        <f t="shared" si="5"/>
        <v>132.85714285714286</v>
      </c>
      <c r="M9" s="68">
        <f t="shared" si="0"/>
        <v>10.050537634408602</v>
      </c>
      <c r="N9" s="69">
        <v>308113.34999999998</v>
      </c>
      <c r="O9" s="70">
        <v>27393</v>
      </c>
      <c r="P9" s="71">
        <f t="shared" si="1"/>
        <v>11.247886321322964</v>
      </c>
      <c r="Q9" s="25"/>
      <c r="R9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77" t="s">
        <v>14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34" t="s">
        <v>17</v>
      </c>
      <c r="O2" s="181" t="s">
        <v>87</v>
      </c>
      <c r="P2" s="182"/>
    </row>
    <row r="3" spans="1:18" ht="30.75" customHeight="1" thickBot="1" x14ac:dyDescent="0.3"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35" t="s">
        <v>45</v>
      </c>
      <c r="O3" s="183" t="s">
        <v>88</v>
      </c>
      <c r="P3" s="184"/>
    </row>
    <row r="4" spans="1:18" s="4" customFormat="1" ht="16.5" customHeight="1" x14ac:dyDescent="0.25">
      <c r="A4" s="2"/>
      <c r="B4" s="3"/>
      <c r="C4" s="185" t="s">
        <v>0</v>
      </c>
      <c r="D4" s="187" t="s">
        <v>1</v>
      </c>
      <c r="E4" s="189" t="s">
        <v>2</v>
      </c>
      <c r="F4" s="189" t="s">
        <v>3</v>
      </c>
      <c r="G4" s="191" t="s">
        <v>4</v>
      </c>
      <c r="H4" s="191" t="s">
        <v>5</v>
      </c>
      <c r="I4" s="193" t="s">
        <v>13</v>
      </c>
      <c r="J4" s="172" t="s">
        <v>15</v>
      </c>
      <c r="K4" s="173"/>
      <c r="L4" s="173"/>
      <c r="M4" s="174"/>
      <c r="N4" s="172" t="s">
        <v>16</v>
      </c>
      <c r="O4" s="175"/>
      <c r="P4" s="176"/>
    </row>
    <row r="5" spans="1:18" s="4" customFormat="1" ht="15" customHeight="1" thickBot="1" x14ac:dyDescent="0.3">
      <c r="A5" s="2"/>
      <c r="B5" s="36"/>
      <c r="C5" s="186"/>
      <c r="D5" s="188"/>
      <c r="E5" s="190"/>
      <c r="F5" s="190"/>
      <c r="G5" s="192"/>
      <c r="H5" s="192"/>
      <c r="I5" s="194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89</v>
      </c>
      <c r="D6" s="153">
        <v>41866</v>
      </c>
      <c r="E6" s="154" t="s">
        <v>10</v>
      </c>
      <c r="F6" s="155" t="s">
        <v>11</v>
      </c>
      <c r="G6" s="156">
        <v>31</v>
      </c>
      <c r="H6" s="157">
        <v>51</v>
      </c>
      <c r="I6" s="158">
        <v>1</v>
      </c>
      <c r="J6" s="161">
        <v>166393.25</v>
      </c>
      <c r="K6" s="54">
        <v>16398</v>
      </c>
      <c r="L6" s="159">
        <f t="shared" ref="L6:L18" si="0">K6/H6</f>
        <v>321.52941176470586</v>
      </c>
      <c r="M6" s="160">
        <f t="shared" ref="M6:M18" si="1">+J6/K6</f>
        <v>10.14716733748018</v>
      </c>
      <c r="N6" s="162">
        <f>166393.25</f>
        <v>166393.25</v>
      </c>
      <c r="O6" s="163">
        <f>16398</f>
        <v>16398</v>
      </c>
      <c r="P6" s="164">
        <f t="shared" ref="P6:P18" si="2">N6/O6</f>
        <v>10.14716733748018</v>
      </c>
      <c r="Q6" s="126"/>
      <c r="R6" s="26"/>
    </row>
    <row r="7" spans="1:18" s="4" customFormat="1" ht="22.5" customHeight="1" x14ac:dyDescent="0.25">
      <c r="B7" s="79">
        <f t="shared" ref="B7:B18" si="3">B6+1</f>
        <v>2</v>
      </c>
      <c r="C7" s="80" t="s">
        <v>81</v>
      </c>
      <c r="D7" s="81">
        <v>41845</v>
      </c>
      <c r="E7" s="82" t="s">
        <v>10</v>
      </c>
      <c r="F7" s="83" t="s">
        <v>10</v>
      </c>
      <c r="G7" s="84">
        <v>23</v>
      </c>
      <c r="H7" s="85">
        <v>20</v>
      </c>
      <c r="I7" s="86">
        <v>4</v>
      </c>
      <c r="J7" s="87">
        <v>20437</v>
      </c>
      <c r="K7" s="88">
        <v>2294</v>
      </c>
      <c r="L7" s="89">
        <f t="shared" si="0"/>
        <v>114.7</v>
      </c>
      <c r="M7" s="90">
        <f t="shared" si="1"/>
        <v>8.9088927637314725</v>
      </c>
      <c r="N7" s="91">
        <f>73428.48+65677.81+40435.99+20437</f>
        <v>199979.27999999997</v>
      </c>
      <c r="O7" s="92">
        <f>7463+6959+4805+2294</f>
        <v>21521</v>
      </c>
      <c r="P7" s="93">
        <f t="shared" si="2"/>
        <v>9.2922856744575046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77</v>
      </c>
      <c r="D8" s="166">
        <v>41838</v>
      </c>
      <c r="E8" s="167" t="s">
        <v>10</v>
      </c>
      <c r="F8" s="168" t="s">
        <v>10</v>
      </c>
      <c r="G8" s="169">
        <v>20</v>
      </c>
      <c r="H8" s="85">
        <v>8</v>
      </c>
      <c r="I8" s="86">
        <v>5</v>
      </c>
      <c r="J8" s="87">
        <v>11734.5</v>
      </c>
      <c r="K8" s="88">
        <v>1487</v>
      </c>
      <c r="L8" s="89">
        <f t="shared" si="0"/>
        <v>185.875</v>
      </c>
      <c r="M8" s="90">
        <f t="shared" si="1"/>
        <v>7.8913920645595157</v>
      </c>
      <c r="N8" s="91">
        <f>83413.21+31376.4+14831.5+9913.12+11734.5</f>
        <v>151268.73000000001</v>
      </c>
      <c r="O8" s="92">
        <f>6309+2343+1168+899+1487</f>
        <v>12206</v>
      </c>
      <c r="P8" s="93">
        <f t="shared" si="2"/>
        <v>12.392981320661971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74</v>
      </c>
      <c r="D9" s="166">
        <v>41831</v>
      </c>
      <c r="E9" s="167" t="s">
        <v>10</v>
      </c>
      <c r="F9" s="168" t="s">
        <v>75</v>
      </c>
      <c r="G9" s="169">
        <v>35</v>
      </c>
      <c r="H9" s="85">
        <v>11</v>
      </c>
      <c r="I9" s="86">
        <v>6</v>
      </c>
      <c r="J9" s="87">
        <v>10673</v>
      </c>
      <c r="K9" s="88">
        <v>958</v>
      </c>
      <c r="L9" s="89">
        <f t="shared" si="0"/>
        <v>87.090909090909093</v>
      </c>
      <c r="M9" s="90">
        <f t="shared" si="1"/>
        <v>11.140918580375782</v>
      </c>
      <c r="N9" s="91">
        <f>204425.4+130339.21+47866.4+41040.53+24854.45+10673</f>
        <v>459198.99000000005</v>
      </c>
      <c r="O9" s="92">
        <f>19421+12650+4370+3566+2047+958</f>
        <v>43012</v>
      </c>
      <c r="P9" s="93">
        <f t="shared" si="2"/>
        <v>10.676066911559566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61</v>
      </c>
      <c r="D10" s="166">
        <v>41796</v>
      </c>
      <c r="E10" s="167" t="s">
        <v>10</v>
      </c>
      <c r="F10" s="168" t="s">
        <v>10</v>
      </c>
      <c r="G10" s="169">
        <v>22</v>
      </c>
      <c r="H10" s="85">
        <v>8</v>
      </c>
      <c r="I10" s="86">
        <v>11</v>
      </c>
      <c r="J10" s="87">
        <v>8779</v>
      </c>
      <c r="K10" s="88">
        <v>900</v>
      </c>
      <c r="L10" s="89">
        <f t="shared" si="0"/>
        <v>112.5</v>
      </c>
      <c r="M10" s="90">
        <f t="shared" si="1"/>
        <v>9.7544444444444451</v>
      </c>
      <c r="N10" s="91">
        <f>166025.28+97326.52+57686.96+13701.5+11079.5+6936+18694.5+12272.5+7080.5+9304+8779</f>
        <v>408886.26</v>
      </c>
      <c r="O10" s="92">
        <f>15114+9515+5786+1430+1181+648+1199+1400+830+999+900</f>
        <v>39002</v>
      </c>
      <c r="P10" s="93">
        <f t="shared" si="2"/>
        <v>10.483725449976925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56</v>
      </c>
      <c r="D11" s="166">
        <v>41782</v>
      </c>
      <c r="E11" s="167" t="s">
        <v>10</v>
      </c>
      <c r="F11" s="168" t="s">
        <v>10</v>
      </c>
      <c r="G11" s="169">
        <v>30</v>
      </c>
      <c r="H11" s="170">
        <v>11</v>
      </c>
      <c r="I11" s="171">
        <v>13</v>
      </c>
      <c r="J11" s="87">
        <v>8486.06</v>
      </c>
      <c r="K11" s="88">
        <v>989</v>
      </c>
      <c r="L11" s="89">
        <f t="shared" si="0"/>
        <v>89.909090909090907</v>
      </c>
      <c r="M11" s="90">
        <f t="shared" si="1"/>
        <v>8.5804448938321531</v>
      </c>
      <c r="N11" s="91">
        <f>95967.35+76227.39+34644.5+27256+29590.5+12797.63+9801.17+8948.5+7152.5+16352.94+12150.29+7448.1+8486.06</f>
        <v>346822.92999999993</v>
      </c>
      <c r="O11" s="92">
        <f>9552+7384+3615+3071+3349+1439+1120+971+812+1886+1381+880+989</f>
        <v>36449</v>
      </c>
      <c r="P11" s="93">
        <f t="shared" si="2"/>
        <v>9.5152934236878917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36</v>
      </c>
      <c r="D12" s="166">
        <v>41740</v>
      </c>
      <c r="E12" s="167" t="s">
        <v>10</v>
      </c>
      <c r="F12" s="168" t="s">
        <v>10</v>
      </c>
      <c r="G12" s="169">
        <v>26</v>
      </c>
      <c r="H12" s="170">
        <v>8</v>
      </c>
      <c r="I12" s="171">
        <v>19</v>
      </c>
      <c r="J12" s="87">
        <v>4749</v>
      </c>
      <c r="K12" s="88">
        <v>650</v>
      </c>
      <c r="L12" s="89">
        <f t="shared" si="0"/>
        <v>81.25</v>
      </c>
      <c r="M12" s="90">
        <f t="shared" si="1"/>
        <v>7.3061538461538458</v>
      </c>
      <c r="N12" s="91">
        <f>125801.67+108052.78+37084.43+23601.43+21068.8+18394.5+13443.32+12736+17919.5+14888+14213.5+9410.5+7303.5+7446+7472+17657+7321+5398.5+4749</f>
        <v>473961.43</v>
      </c>
      <c r="O12" s="92">
        <f>12315+10389+3812+2521+2588+2117+1563+1524+2098+1705+1607+1075+924+1045+1011+2258+951+720+650</f>
        <v>50873</v>
      </c>
      <c r="P12" s="93">
        <f t="shared" si="2"/>
        <v>9.3165614373046601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48</v>
      </c>
      <c r="D13" s="166">
        <v>41768</v>
      </c>
      <c r="E13" s="167" t="s">
        <v>10</v>
      </c>
      <c r="F13" s="168" t="s">
        <v>10</v>
      </c>
      <c r="G13" s="169">
        <v>22</v>
      </c>
      <c r="H13" s="170">
        <v>13</v>
      </c>
      <c r="I13" s="171">
        <v>15</v>
      </c>
      <c r="J13" s="87">
        <v>4452.7299999999996</v>
      </c>
      <c r="K13" s="88">
        <v>610</v>
      </c>
      <c r="L13" s="89">
        <f t="shared" si="0"/>
        <v>46.92307692307692</v>
      </c>
      <c r="M13" s="90">
        <f t="shared" si="1"/>
        <v>7.2995573770491795</v>
      </c>
      <c r="N13" s="91">
        <f>96037.16+42293.76+11136.86+17605+22297.3+19062.27+11022+8010+7779.86+6062+4890+6980.36+5587.98+5298.38+4452.73</f>
        <v>268515.65999999997</v>
      </c>
      <c r="O13" s="92">
        <f>9852+4309+1246+1999+2461+2258+1374+975+960+792+668+1048+872+672+610</f>
        <v>30096</v>
      </c>
      <c r="P13" s="93">
        <f t="shared" si="2"/>
        <v>8.9219716905901105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70</v>
      </c>
      <c r="D14" s="166">
        <v>41824</v>
      </c>
      <c r="E14" s="167" t="s">
        <v>10</v>
      </c>
      <c r="F14" s="168" t="s">
        <v>71</v>
      </c>
      <c r="G14" s="169">
        <v>32</v>
      </c>
      <c r="H14" s="170">
        <v>18</v>
      </c>
      <c r="I14" s="171">
        <v>7</v>
      </c>
      <c r="J14" s="87">
        <v>4355</v>
      </c>
      <c r="K14" s="88">
        <v>596</v>
      </c>
      <c r="L14" s="89">
        <f t="shared" si="0"/>
        <v>33.111111111111114</v>
      </c>
      <c r="M14" s="90">
        <f t="shared" si="1"/>
        <v>7.3070469798657722</v>
      </c>
      <c r="N14" s="91">
        <f>32706.88+12882.41+6333.12+6483.62+4511.26+5741+4355</f>
        <v>73013.290000000008</v>
      </c>
      <c r="O14" s="92">
        <f>3102+1318+704+809+562+700+596</f>
        <v>7791</v>
      </c>
      <c r="P14" s="93">
        <f t="shared" si="2"/>
        <v>9.3714914645103331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65" t="s">
        <v>84</v>
      </c>
      <c r="D15" s="166">
        <v>41852</v>
      </c>
      <c r="E15" s="167" t="s">
        <v>10</v>
      </c>
      <c r="F15" s="168" t="s">
        <v>11</v>
      </c>
      <c r="G15" s="169">
        <v>9</v>
      </c>
      <c r="H15" s="170">
        <v>2</v>
      </c>
      <c r="I15" s="171">
        <v>3</v>
      </c>
      <c r="J15" s="87">
        <v>4266</v>
      </c>
      <c r="K15" s="88">
        <v>257</v>
      </c>
      <c r="L15" s="89">
        <f t="shared" si="0"/>
        <v>128.5</v>
      </c>
      <c r="M15" s="90">
        <f t="shared" si="1"/>
        <v>16.59922178988327</v>
      </c>
      <c r="N15" s="91">
        <f>92729.6+41511.8+4266</f>
        <v>138507.40000000002</v>
      </c>
      <c r="O15" s="92">
        <f>6247+3126+257</f>
        <v>9630</v>
      </c>
      <c r="P15" s="93">
        <f t="shared" si="2"/>
        <v>14.382907580477676</v>
      </c>
      <c r="Q15" s="126"/>
      <c r="R15" s="26"/>
    </row>
    <row r="16" spans="1:18" s="4" customFormat="1" ht="22.5" customHeight="1" x14ac:dyDescent="0.25">
      <c r="B16" s="79">
        <f t="shared" si="3"/>
        <v>11</v>
      </c>
      <c r="C16" s="165" t="s">
        <v>33</v>
      </c>
      <c r="D16" s="166">
        <v>41726</v>
      </c>
      <c r="E16" s="167" t="s">
        <v>10</v>
      </c>
      <c r="F16" s="168" t="s">
        <v>10</v>
      </c>
      <c r="G16" s="169">
        <v>39</v>
      </c>
      <c r="H16" s="170">
        <v>5</v>
      </c>
      <c r="I16" s="171">
        <v>21</v>
      </c>
      <c r="J16" s="87">
        <v>1316.75</v>
      </c>
      <c r="K16" s="88">
        <v>149</v>
      </c>
      <c r="L16" s="89">
        <f t="shared" si="0"/>
        <v>29.8</v>
      </c>
      <c r="M16" s="90">
        <f t="shared" si="1"/>
        <v>8.8372483221476514</v>
      </c>
      <c r="N16" s="91">
        <f>231174.62+62282.23+5309.5+9347+8300+7582.5+7225.5+4781+2621+6241.6+5123+2544+2933+2417+1413+2523+1985.5+731+642+1635.49+1316.75</f>
        <v>368128.68999999994</v>
      </c>
      <c r="O16" s="92">
        <f>20693+5291+479+930+887+837+776+691+255+784+638+378+427+336+199+316+233+78+70+184+149</f>
        <v>34631</v>
      </c>
      <c r="P16" s="93">
        <f t="shared" si="2"/>
        <v>10.630033496000692</v>
      </c>
      <c r="Q16" s="126"/>
      <c r="R16" s="26"/>
    </row>
    <row r="17" spans="2:18" s="4" customFormat="1" ht="22.5" customHeight="1" x14ac:dyDescent="0.25">
      <c r="B17" s="79">
        <f t="shared" si="3"/>
        <v>12</v>
      </c>
      <c r="C17" s="165" t="s">
        <v>41</v>
      </c>
      <c r="D17" s="166">
        <v>41747</v>
      </c>
      <c r="E17" s="167" t="s">
        <v>10</v>
      </c>
      <c r="F17" s="168" t="s">
        <v>10</v>
      </c>
      <c r="G17" s="169">
        <v>27</v>
      </c>
      <c r="H17" s="170">
        <v>2</v>
      </c>
      <c r="I17" s="171">
        <v>18</v>
      </c>
      <c r="J17" s="87">
        <v>377</v>
      </c>
      <c r="K17" s="88">
        <v>58</v>
      </c>
      <c r="L17" s="89">
        <f t="shared" si="0"/>
        <v>29</v>
      </c>
      <c r="M17" s="90">
        <f t="shared" si="1"/>
        <v>6.5</v>
      </c>
      <c r="N17" s="91">
        <f>186153.66+73200.86+7974.97+3137.5+2235.5+2569.5+1951+3923.5+2028.5+2570+1951+851+280.5+1284+387.5+714.5+19.5+377</f>
        <v>291609.99</v>
      </c>
      <c r="O17" s="92">
        <f>17828+6634+897+384+272+355+277+539+259+316+258+106+40+183+51+100+3+58</f>
        <v>28560</v>
      </c>
      <c r="P17" s="93">
        <f t="shared" si="2"/>
        <v>10.210433823529412</v>
      </c>
      <c r="Q17" s="126"/>
      <c r="R17" s="26"/>
    </row>
    <row r="18" spans="2:18" s="4" customFormat="1" ht="22.5" customHeight="1" thickBot="1" x14ac:dyDescent="0.3">
      <c r="B18" s="137">
        <f t="shared" si="3"/>
        <v>13</v>
      </c>
      <c r="C18" s="141" t="s">
        <v>9</v>
      </c>
      <c r="D18" s="142">
        <v>41684</v>
      </c>
      <c r="E18" s="143" t="s">
        <v>10</v>
      </c>
      <c r="F18" s="144" t="s">
        <v>11</v>
      </c>
      <c r="G18" s="145">
        <v>76</v>
      </c>
      <c r="H18" s="139">
        <v>1</v>
      </c>
      <c r="I18" s="140">
        <v>27</v>
      </c>
      <c r="J18" s="148">
        <v>290</v>
      </c>
      <c r="K18" s="66">
        <v>21</v>
      </c>
      <c r="L18" s="146">
        <f t="shared" si="0"/>
        <v>21</v>
      </c>
      <c r="M18" s="147">
        <f t="shared" si="1"/>
        <v>13.80952380952381</v>
      </c>
      <c r="N18" s="149">
        <f>457084.63+194296.68+44137.17+13030+7400.5+9372.51+21985.7+8798+6823.5+11928.5+9039+10315.86+4561.58+5322+1536+3683.5+5700.5+7282+6570+2758+312+298+393+745+505+2118+290</f>
        <v>836286.63</v>
      </c>
      <c r="O18" s="150">
        <f>48529+19857+4845+1742+907+1325+3002+1302+917+1510+1343+1395+656+665+188+409+660+841+730+277+37+74+79+51+41+317+21</f>
        <v>91720</v>
      </c>
      <c r="P18" s="151">
        <f t="shared" si="2"/>
        <v>9.1178219581334492</v>
      </c>
      <c r="Q18" s="126"/>
      <c r="R18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77" t="s">
        <v>14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34" t="s">
        <v>17</v>
      </c>
      <c r="O2" s="181" t="s">
        <v>37</v>
      </c>
      <c r="P2" s="182"/>
    </row>
    <row r="3" spans="1:18" ht="30.75" customHeight="1" thickBot="1" x14ac:dyDescent="0.3"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35" t="s">
        <v>18</v>
      </c>
      <c r="O3" s="183" t="s">
        <v>38</v>
      </c>
      <c r="P3" s="184"/>
    </row>
    <row r="4" spans="1:18" s="4" customFormat="1" ht="16.5" customHeight="1" x14ac:dyDescent="0.25">
      <c r="A4" s="2"/>
      <c r="B4" s="3"/>
      <c r="C4" s="185" t="s">
        <v>0</v>
      </c>
      <c r="D4" s="187" t="s">
        <v>1</v>
      </c>
      <c r="E4" s="189" t="s">
        <v>2</v>
      </c>
      <c r="F4" s="189" t="s">
        <v>3</v>
      </c>
      <c r="G4" s="191" t="s">
        <v>4</v>
      </c>
      <c r="H4" s="191" t="s">
        <v>5</v>
      </c>
      <c r="I4" s="193" t="s">
        <v>13</v>
      </c>
      <c r="J4" s="172" t="s">
        <v>15</v>
      </c>
      <c r="K4" s="173"/>
      <c r="L4" s="173"/>
      <c r="M4" s="174"/>
      <c r="N4" s="172" t="s">
        <v>16</v>
      </c>
      <c r="O4" s="175"/>
      <c r="P4" s="176"/>
    </row>
    <row r="5" spans="1:18" s="4" customFormat="1" ht="12.75" thickBot="1" x14ac:dyDescent="0.3">
      <c r="A5" s="2"/>
      <c r="B5" s="36"/>
      <c r="C5" s="186"/>
      <c r="D5" s="188"/>
      <c r="E5" s="190"/>
      <c r="F5" s="190"/>
      <c r="G5" s="192"/>
      <c r="H5" s="192"/>
      <c r="I5" s="194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36</v>
      </c>
      <c r="D6" s="50">
        <v>41740</v>
      </c>
      <c r="E6" s="51" t="s">
        <v>10</v>
      </c>
      <c r="F6" s="74" t="s">
        <v>10</v>
      </c>
      <c r="G6" s="52">
        <v>26</v>
      </c>
      <c r="H6" s="53">
        <v>36</v>
      </c>
      <c r="I6" s="75">
        <v>1</v>
      </c>
      <c r="J6" s="76">
        <v>125801.67</v>
      </c>
      <c r="K6" s="54">
        <v>12315</v>
      </c>
      <c r="L6" s="55">
        <f>K6/H6</f>
        <v>342.08333333333331</v>
      </c>
      <c r="M6" s="77">
        <f t="shared" ref="M6" si="0">+J6/K6</f>
        <v>10.215320341047503</v>
      </c>
      <c r="N6" s="78">
        <v>125801.67</v>
      </c>
      <c r="O6" s="56">
        <v>12315</v>
      </c>
      <c r="P6" s="57">
        <f t="shared" ref="P6:P8" si="1">N6/O6</f>
        <v>10.215320341047503</v>
      </c>
      <c r="Q6" s="25"/>
      <c r="R6" s="26"/>
    </row>
    <row r="7" spans="1:18" s="4" customFormat="1" ht="24" customHeight="1" x14ac:dyDescent="0.25">
      <c r="B7" s="79">
        <f t="shared" ref="B7:B8" si="2">B6+1</f>
        <v>2</v>
      </c>
      <c r="C7" s="80" t="s">
        <v>9</v>
      </c>
      <c r="D7" s="81">
        <v>41684</v>
      </c>
      <c r="E7" s="82" t="s">
        <v>10</v>
      </c>
      <c r="F7" s="83" t="s">
        <v>11</v>
      </c>
      <c r="G7" s="84">
        <v>76</v>
      </c>
      <c r="H7" s="85">
        <v>11</v>
      </c>
      <c r="I7" s="86">
        <v>9</v>
      </c>
      <c r="J7" s="87">
        <v>6823.5</v>
      </c>
      <c r="K7" s="88">
        <v>917</v>
      </c>
      <c r="L7" s="89">
        <f t="shared" ref="L7:L8" si="3">K7/H7</f>
        <v>83.36363636363636</v>
      </c>
      <c r="M7" s="90">
        <f t="shared" ref="M7:M8" si="4">+J7/K7</f>
        <v>7.441112322791712</v>
      </c>
      <c r="N7" s="91">
        <v>762928.69</v>
      </c>
      <c r="O7" s="92">
        <v>82426</v>
      </c>
      <c r="P7" s="93">
        <f t="shared" si="1"/>
        <v>9.2559227670880535</v>
      </c>
      <c r="Q7" s="25"/>
      <c r="R7" s="26"/>
    </row>
    <row r="8" spans="1:18" s="4" customFormat="1" ht="24" customHeight="1" thickBot="1" x14ac:dyDescent="0.3">
      <c r="B8" s="11">
        <f t="shared" si="2"/>
        <v>3</v>
      </c>
      <c r="C8" s="58" t="s">
        <v>33</v>
      </c>
      <c r="D8" s="59">
        <v>41726</v>
      </c>
      <c r="E8" s="60" t="s">
        <v>10</v>
      </c>
      <c r="F8" s="61" t="s">
        <v>10</v>
      </c>
      <c r="G8" s="62">
        <v>39</v>
      </c>
      <c r="H8" s="63">
        <v>6</v>
      </c>
      <c r="I8" s="64">
        <v>3</v>
      </c>
      <c r="J8" s="65">
        <v>5309.5</v>
      </c>
      <c r="K8" s="66">
        <v>479</v>
      </c>
      <c r="L8" s="67">
        <f t="shared" si="3"/>
        <v>79.833333333333329</v>
      </c>
      <c r="M8" s="68">
        <f t="shared" si="4"/>
        <v>11.08455114822547</v>
      </c>
      <c r="N8" s="69">
        <v>298766.34999999998</v>
      </c>
      <c r="O8" s="70">
        <v>26463</v>
      </c>
      <c r="P8" s="71">
        <f t="shared" si="1"/>
        <v>11.289965234478327</v>
      </c>
      <c r="Q8" s="25"/>
      <c r="R8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77" t="s">
        <v>14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34" t="s">
        <v>17</v>
      </c>
      <c r="O2" s="181" t="s">
        <v>34</v>
      </c>
      <c r="P2" s="182"/>
    </row>
    <row r="3" spans="1:18" ht="30.75" customHeight="1" thickBot="1" x14ac:dyDescent="0.3"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35" t="s">
        <v>18</v>
      </c>
      <c r="O3" s="183" t="s">
        <v>35</v>
      </c>
      <c r="P3" s="184"/>
    </row>
    <row r="4" spans="1:18" s="4" customFormat="1" ht="16.5" customHeight="1" x14ac:dyDescent="0.25">
      <c r="A4" s="2"/>
      <c r="B4" s="3"/>
      <c r="C4" s="185" t="s">
        <v>0</v>
      </c>
      <c r="D4" s="187" t="s">
        <v>1</v>
      </c>
      <c r="E4" s="189" t="s">
        <v>2</v>
      </c>
      <c r="F4" s="189" t="s">
        <v>3</v>
      </c>
      <c r="G4" s="191" t="s">
        <v>4</v>
      </c>
      <c r="H4" s="191" t="s">
        <v>5</v>
      </c>
      <c r="I4" s="193" t="s">
        <v>13</v>
      </c>
      <c r="J4" s="172" t="s">
        <v>15</v>
      </c>
      <c r="K4" s="173"/>
      <c r="L4" s="173"/>
      <c r="M4" s="174"/>
      <c r="N4" s="172" t="s">
        <v>16</v>
      </c>
      <c r="O4" s="175"/>
      <c r="P4" s="176"/>
    </row>
    <row r="5" spans="1:18" s="4" customFormat="1" ht="12.75" thickBot="1" x14ac:dyDescent="0.3">
      <c r="A5" s="2"/>
      <c r="B5" s="36"/>
      <c r="C5" s="186"/>
      <c r="D5" s="188"/>
      <c r="E5" s="190"/>
      <c r="F5" s="190"/>
      <c r="G5" s="192"/>
      <c r="H5" s="192"/>
      <c r="I5" s="194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33</v>
      </c>
      <c r="D6" s="50">
        <v>41726</v>
      </c>
      <c r="E6" s="51" t="s">
        <v>10</v>
      </c>
      <c r="F6" s="74" t="s">
        <v>10</v>
      </c>
      <c r="G6" s="52">
        <v>39</v>
      </c>
      <c r="H6" s="53">
        <v>43</v>
      </c>
      <c r="I6" s="75">
        <v>2</v>
      </c>
      <c r="J6" s="76">
        <v>62282.23</v>
      </c>
      <c r="K6" s="54">
        <v>5291</v>
      </c>
      <c r="L6" s="55">
        <f>K6/H6</f>
        <v>123.04651162790698</v>
      </c>
      <c r="M6" s="77">
        <f>+J6/K6</f>
        <v>11.771353241353243</v>
      </c>
      <c r="N6" s="78">
        <v>293456.84999999998</v>
      </c>
      <c r="O6" s="56">
        <v>25984</v>
      </c>
      <c r="P6" s="57">
        <f>N6/O6</f>
        <v>11.293751924261082</v>
      </c>
      <c r="Q6" s="25"/>
      <c r="R6" s="26"/>
    </row>
    <row r="7" spans="1:18" s="4" customFormat="1" ht="24" customHeight="1" thickBot="1" x14ac:dyDescent="0.3">
      <c r="B7" s="11">
        <f>B6+1</f>
        <v>2</v>
      </c>
      <c r="C7" s="58" t="s">
        <v>9</v>
      </c>
      <c r="D7" s="59">
        <v>41684</v>
      </c>
      <c r="E7" s="60" t="s">
        <v>10</v>
      </c>
      <c r="F7" s="61" t="s">
        <v>11</v>
      </c>
      <c r="G7" s="62">
        <v>76</v>
      </c>
      <c r="H7" s="63">
        <v>13</v>
      </c>
      <c r="I7" s="64">
        <v>8</v>
      </c>
      <c r="J7" s="65">
        <v>8798</v>
      </c>
      <c r="K7" s="66">
        <v>1302</v>
      </c>
      <c r="L7" s="67">
        <f>K7/H7</f>
        <v>100.15384615384616</v>
      </c>
      <c r="M7" s="68">
        <f>+J7/K7</f>
        <v>6.7572964669738864</v>
      </c>
      <c r="N7" s="69">
        <v>756105.19</v>
      </c>
      <c r="O7" s="70">
        <v>81509</v>
      </c>
      <c r="P7" s="71">
        <f>N7/O7</f>
        <v>9.2763399133837972</v>
      </c>
      <c r="Q7" s="25"/>
      <c r="R7" s="26"/>
    </row>
  </sheetData>
  <mergeCells count="12">
    <mergeCell ref="H4:H5"/>
    <mergeCell ref="I4:I5"/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77" t="s">
        <v>14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34" t="s">
        <v>17</v>
      </c>
      <c r="O2" s="181" t="s">
        <v>31</v>
      </c>
      <c r="P2" s="182"/>
    </row>
    <row r="3" spans="1:18" ht="30.75" customHeight="1" thickBot="1" x14ac:dyDescent="0.3"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35" t="s">
        <v>18</v>
      </c>
      <c r="O3" s="183" t="s">
        <v>32</v>
      </c>
      <c r="P3" s="184"/>
    </row>
    <row r="4" spans="1:18" s="4" customFormat="1" ht="16.5" customHeight="1" x14ac:dyDescent="0.25">
      <c r="A4" s="2"/>
      <c r="B4" s="3"/>
      <c r="C4" s="185" t="s">
        <v>0</v>
      </c>
      <c r="D4" s="187" t="s">
        <v>1</v>
      </c>
      <c r="E4" s="189" t="s">
        <v>2</v>
      </c>
      <c r="F4" s="189" t="s">
        <v>3</v>
      </c>
      <c r="G4" s="191" t="s">
        <v>4</v>
      </c>
      <c r="H4" s="191" t="s">
        <v>5</v>
      </c>
      <c r="I4" s="193" t="s">
        <v>13</v>
      </c>
      <c r="J4" s="172" t="s">
        <v>15</v>
      </c>
      <c r="K4" s="173"/>
      <c r="L4" s="173"/>
      <c r="M4" s="174"/>
      <c r="N4" s="172" t="s">
        <v>16</v>
      </c>
      <c r="O4" s="175"/>
      <c r="P4" s="176"/>
    </row>
    <row r="5" spans="1:18" s="4" customFormat="1" ht="12.75" thickBot="1" x14ac:dyDescent="0.3">
      <c r="A5" s="2"/>
      <c r="B5" s="36"/>
      <c r="C5" s="186"/>
      <c r="D5" s="188"/>
      <c r="E5" s="190"/>
      <c r="F5" s="190"/>
      <c r="G5" s="192"/>
      <c r="H5" s="192"/>
      <c r="I5" s="194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33</v>
      </c>
      <c r="D6" s="50">
        <v>41726</v>
      </c>
      <c r="E6" s="51" t="s">
        <v>10</v>
      </c>
      <c r="F6" s="74" t="s">
        <v>10</v>
      </c>
      <c r="G6" s="52">
        <v>39</v>
      </c>
      <c r="H6" s="53">
        <v>80</v>
      </c>
      <c r="I6" s="75">
        <v>1</v>
      </c>
      <c r="J6" s="76">
        <v>231174.62</v>
      </c>
      <c r="K6" s="54">
        <v>20693</v>
      </c>
      <c r="L6" s="55">
        <f>K6/H6</f>
        <v>258.66250000000002</v>
      </c>
      <c r="M6" s="77">
        <f t="shared" ref="M6" si="0">+J6/K6</f>
        <v>11.171633885855121</v>
      </c>
      <c r="N6" s="78">
        <v>231174.62</v>
      </c>
      <c r="O6" s="56">
        <v>20693</v>
      </c>
      <c r="P6" s="57">
        <f t="shared" ref="P6" si="1">N6/O6</f>
        <v>11.171633885855121</v>
      </c>
      <c r="Q6" s="25"/>
      <c r="R6" s="26"/>
    </row>
    <row r="7" spans="1:18" s="4" customFormat="1" ht="24" customHeight="1" thickBot="1" x14ac:dyDescent="0.3">
      <c r="B7" s="11">
        <f>B6+1</f>
        <v>2</v>
      </c>
      <c r="C7" s="58" t="s">
        <v>9</v>
      </c>
      <c r="D7" s="59">
        <v>41684</v>
      </c>
      <c r="E7" s="60" t="s">
        <v>10</v>
      </c>
      <c r="F7" s="61" t="s">
        <v>11</v>
      </c>
      <c r="G7" s="62">
        <v>76</v>
      </c>
      <c r="H7" s="63">
        <v>23</v>
      </c>
      <c r="I7" s="64">
        <v>7</v>
      </c>
      <c r="J7" s="65">
        <v>21985.7</v>
      </c>
      <c r="K7" s="66">
        <v>3002</v>
      </c>
      <c r="L7" s="67">
        <f>K7/H7</f>
        <v>130.52173913043478</v>
      </c>
      <c r="M7" s="68">
        <f t="shared" ref="M7" si="2">+J7/K7</f>
        <v>7.3236842105263165</v>
      </c>
      <c r="N7" s="69">
        <v>747307.19</v>
      </c>
      <c r="O7" s="70">
        <v>80207</v>
      </c>
      <c r="P7" s="71">
        <f t="shared" ref="P7" si="3">N7/O7</f>
        <v>9.3172315383944042</v>
      </c>
      <c r="Q7" s="25"/>
      <c r="R7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77" t="s">
        <v>14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34" t="s">
        <v>17</v>
      </c>
      <c r="O2" s="181" t="s">
        <v>29</v>
      </c>
      <c r="P2" s="182"/>
    </row>
    <row r="3" spans="1:18" ht="30.75" customHeight="1" thickBot="1" x14ac:dyDescent="0.3"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35" t="s">
        <v>18</v>
      </c>
      <c r="O3" s="183" t="s">
        <v>30</v>
      </c>
      <c r="P3" s="184"/>
    </row>
    <row r="4" spans="1:18" s="4" customFormat="1" ht="16.5" customHeight="1" x14ac:dyDescent="0.25">
      <c r="A4" s="2"/>
      <c r="B4" s="3"/>
      <c r="C4" s="185" t="s">
        <v>0</v>
      </c>
      <c r="D4" s="187" t="s">
        <v>1</v>
      </c>
      <c r="E4" s="189" t="s">
        <v>2</v>
      </c>
      <c r="F4" s="189" t="s">
        <v>3</v>
      </c>
      <c r="G4" s="191" t="s">
        <v>4</v>
      </c>
      <c r="H4" s="191" t="s">
        <v>5</v>
      </c>
      <c r="I4" s="193" t="s">
        <v>13</v>
      </c>
      <c r="J4" s="172" t="s">
        <v>15</v>
      </c>
      <c r="K4" s="173"/>
      <c r="L4" s="173"/>
      <c r="M4" s="174"/>
      <c r="N4" s="172" t="s">
        <v>16</v>
      </c>
      <c r="O4" s="175"/>
      <c r="P4" s="176"/>
    </row>
    <row r="5" spans="1:18" s="4" customFormat="1" ht="12.75" thickBot="1" x14ac:dyDescent="0.3">
      <c r="A5" s="2"/>
      <c r="B5" s="36"/>
      <c r="C5" s="195"/>
      <c r="D5" s="196"/>
      <c r="E5" s="197"/>
      <c r="F5" s="197"/>
      <c r="G5" s="198"/>
      <c r="H5" s="198"/>
      <c r="I5" s="199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37" t="s">
        <v>9</v>
      </c>
      <c r="D6" s="38">
        <v>41684</v>
      </c>
      <c r="E6" s="39" t="s">
        <v>10</v>
      </c>
      <c r="F6" s="40" t="s">
        <v>11</v>
      </c>
      <c r="G6" s="41">
        <v>76</v>
      </c>
      <c r="H6" s="16">
        <v>16</v>
      </c>
      <c r="I6" s="17">
        <v>6</v>
      </c>
      <c r="J6" s="19">
        <v>9372.51</v>
      </c>
      <c r="K6" s="20">
        <v>1325</v>
      </c>
      <c r="L6" s="42">
        <f>K6/H6</f>
        <v>82.8125</v>
      </c>
      <c r="M6" s="43">
        <f t="shared" ref="M6" si="0">+J6/K6</f>
        <v>7.073592452830189</v>
      </c>
      <c r="N6" s="22">
        <v>725321.49</v>
      </c>
      <c r="O6" s="23">
        <v>77205</v>
      </c>
      <c r="P6" s="44">
        <f t="shared" ref="P6" si="1">N6/O6</f>
        <v>9.3947476199727991</v>
      </c>
      <c r="Q6" s="25"/>
      <c r="R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77" t="s">
        <v>14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34" t="s">
        <v>17</v>
      </c>
      <c r="O2" s="181" t="s">
        <v>27</v>
      </c>
      <c r="P2" s="182"/>
    </row>
    <row r="3" spans="1:18" ht="30.75" customHeight="1" thickBot="1" x14ac:dyDescent="0.3"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35" t="s">
        <v>18</v>
      </c>
      <c r="O3" s="183" t="s">
        <v>28</v>
      </c>
      <c r="P3" s="184"/>
    </row>
    <row r="4" spans="1:18" s="4" customFormat="1" ht="16.5" customHeight="1" x14ac:dyDescent="0.25">
      <c r="A4" s="2"/>
      <c r="B4" s="3"/>
      <c r="C4" s="185" t="s">
        <v>0</v>
      </c>
      <c r="D4" s="187" t="s">
        <v>1</v>
      </c>
      <c r="E4" s="189" t="s">
        <v>2</v>
      </c>
      <c r="F4" s="189" t="s">
        <v>3</v>
      </c>
      <c r="G4" s="191" t="s">
        <v>4</v>
      </c>
      <c r="H4" s="191" t="s">
        <v>5</v>
      </c>
      <c r="I4" s="193" t="s">
        <v>13</v>
      </c>
      <c r="J4" s="172" t="s">
        <v>15</v>
      </c>
      <c r="K4" s="173"/>
      <c r="L4" s="173"/>
      <c r="M4" s="174"/>
      <c r="N4" s="172" t="s">
        <v>16</v>
      </c>
      <c r="O4" s="175"/>
      <c r="P4" s="176"/>
    </row>
    <row r="5" spans="1:18" s="4" customFormat="1" ht="12.75" thickBot="1" x14ac:dyDescent="0.3">
      <c r="A5" s="2"/>
      <c r="B5" s="36"/>
      <c r="C5" s="195"/>
      <c r="D5" s="196"/>
      <c r="E5" s="197"/>
      <c r="F5" s="197"/>
      <c r="G5" s="198"/>
      <c r="H5" s="198"/>
      <c r="I5" s="199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37" t="s">
        <v>9</v>
      </c>
      <c r="D6" s="38">
        <v>41684</v>
      </c>
      <c r="E6" s="39" t="s">
        <v>10</v>
      </c>
      <c r="F6" s="40" t="s">
        <v>11</v>
      </c>
      <c r="G6" s="41">
        <v>76</v>
      </c>
      <c r="H6" s="16">
        <v>11</v>
      </c>
      <c r="I6" s="17">
        <v>5</v>
      </c>
      <c r="J6" s="19">
        <v>7400.5</v>
      </c>
      <c r="K6" s="20">
        <v>907</v>
      </c>
      <c r="L6" s="42">
        <f>K6/H6</f>
        <v>82.454545454545453</v>
      </c>
      <c r="M6" s="43">
        <f t="shared" ref="M6" si="0">+J6/K6</f>
        <v>8.159316427783903</v>
      </c>
      <c r="N6" s="22">
        <v>715948.98</v>
      </c>
      <c r="O6" s="23">
        <v>75880</v>
      </c>
      <c r="P6" s="44">
        <f t="shared" ref="P6" si="1">N6/O6</f>
        <v>9.435279124934107</v>
      </c>
      <c r="Q6" s="25"/>
      <c r="R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2.5703125" style="27" customWidth="1"/>
    <col min="11" max="11" width="8.7109375" style="27" customWidth="1"/>
    <col min="12" max="13" width="5.42578125" style="27" bestFit="1" customWidth="1"/>
    <col min="14" max="14" width="10.85546875" style="27" customWidth="1"/>
    <col min="15" max="15" width="9.140625" style="27" customWidth="1"/>
    <col min="16" max="16" width="10.140625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77" t="s">
        <v>14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34" t="s">
        <v>17</v>
      </c>
      <c r="O2" s="181" t="s">
        <v>25</v>
      </c>
      <c r="P2" s="182"/>
    </row>
    <row r="3" spans="1:18" ht="30.75" customHeight="1" thickBot="1" x14ac:dyDescent="0.3"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35" t="s">
        <v>18</v>
      </c>
      <c r="O3" s="183" t="s">
        <v>26</v>
      </c>
      <c r="P3" s="184"/>
    </row>
    <row r="4" spans="1:18" s="4" customFormat="1" ht="16.5" customHeight="1" x14ac:dyDescent="0.25">
      <c r="A4" s="2"/>
      <c r="B4" s="3"/>
      <c r="C4" s="185" t="s">
        <v>0</v>
      </c>
      <c r="D4" s="187" t="s">
        <v>1</v>
      </c>
      <c r="E4" s="189" t="s">
        <v>2</v>
      </c>
      <c r="F4" s="189" t="s">
        <v>3</v>
      </c>
      <c r="G4" s="191" t="s">
        <v>4</v>
      </c>
      <c r="H4" s="191" t="s">
        <v>5</v>
      </c>
      <c r="I4" s="193" t="s">
        <v>13</v>
      </c>
      <c r="J4" s="172" t="s">
        <v>15</v>
      </c>
      <c r="K4" s="173"/>
      <c r="L4" s="173"/>
      <c r="M4" s="174"/>
      <c r="N4" s="172" t="s">
        <v>16</v>
      </c>
      <c r="O4" s="175"/>
      <c r="P4" s="176"/>
    </row>
    <row r="5" spans="1:18" s="4" customFormat="1" ht="23.25" thickBot="1" x14ac:dyDescent="0.3">
      <c r="A5" s="2"/>
      <c r="B5" s="36"/>
      <c r="C5" s="195"/>
      <c r="D5" s="196"/>
      <c r="E5" s="197"/>
      <c r="F5" s="197"/>
      <c r="G5" s="198"/>
      <c r="H5" s="198"/>
      <c r="I5" s="199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37" t="s">
        <v>9</v>
      </c>
      <c r="D6" s="38">
        <v>41684</v>
      </c>
      <c r="E6" s="39" t="s">
        <v>10</v>
      </c>
      <c r="F6" s="40" t="s">
        <v>11</v>
      </c>
      <c r="G6" s="41">
        <v>76</v>
      </c>
      <c r="H6" s="16">
        <v>18</v>
      </c>
      <c r="I6" s="17">
        <v>4</v>
      </c>
      <c r="J6" s="19">
        <v>13030</v>
      </c>
      <c r="K6" s="20">
        <v>1742</v>
      </c>
      <c r="L6" s="18">
        <f>K6/H6</f>
        <v>96.777777777777771</v>
      </c>
      <c r="M6" s="21">
        <f t="shared" ref="M6" si="0">+J6/K6</f>
        <v>7.4799081515499424</v>
      </c>
      <c r="N6" s="22">
        <v>708548.48</v>
      </c>
      <c r="O6" s="23">
        <v>74973</v>
      </c>
      <c r="P6" s="24">
        <f t="shared" ref="P6" si="1">N6/O6</f>
        <v>9.4507153241833723</v>
      </c>
      <c r="Q6" s="25"/>
      <c r="R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3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2.5703125" style="27" customWidth="1"/>
    <col min="11" max="11" width="8.7109375" style="27" customWidth="1"/>
    <col min="12" max="13" width="5.42578125" style="27" bestFit="1" customWidth="1"/>
    <col min="14" max="14" width="10.85546875" style="27" customWidth="1"/>
    <col min="15" max="15" width="9.140625" style="27" customWidth="1"/>
    <col min="16" max="16" width="10.140625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77" t="s">
        <v>14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34" t="s">
        <v>17</v>
      </c>
      <c r="O2" s="181" t="s">
        <v>23</v>
      </c>
      <c r="P2" s="182"/>
    </row>
    <row r="3" spans="1:18" ht="30.75" customHeight="1" thickBot="1" x14ac:dyDescent="0.3"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35" t="s">
        <v>18</v>
      </c>
      <c r="O3" s="183" t="s">
        <v>24</v>
      </c>
      <c r="P3" s="184"/>
    </row>
    <row r="4" spans="1:18" s="4" customFormat="1" ht="16.5" customHeight="1" x14ac:dyDescent="0.25">
      <c r="A4" s="2"/>
      <c r="B4" s="3"/>
      <c r="C4" s="185" t="s">
        <v>0</v>
      </c>
      <c r="D4" s="187" t="s">
        <v>1</v>
      </c>
      <c r="E4" s="189" t="s">
        <v>2</v>
      </c>
      <c r="F4" s="189" t="s">
        <v>3</v>
      </c>
      <c r="G4" s="191" t="s">
        <v>4</v>
      </c>
      <c r="H4" s="191" t="s">
        <v>5</v>
      </c>
      <c r="I4" s="193" t="s">
        <v>13</v>
      </c>
      <c r="J4" s="172" t="s">
        <v>15</v>
      </c>
      <c r="K4" s="173"/>
      <c r="L4" s="173"/>
      <c r="M4" s="174"/>
      <c r="N4" s="172" t="s">
        <v>16</v>
      </c>
      <c r="O4" s="175"/>
      <c r="P4" s="176"/>
    </row>
    <row r="5" spans="1:18" s="4" customFormat="1" ht="23.25" thickBot="1" x14ac:dyDescent="0.3">
      <c r="A5" s="2"/>
      <c r="B5" s="36"/>
      <c r="C5" s="195"/>
      <c r="D5" s="196"/>
      <c r="E5" s="197"/>
      <c r="F5" s="197"/>
      <c r="G5" s="198"/>
      <c r="H5" s="198"/>
      <c r="I5" s="199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12" t="s">
        <v>9</v>
      </c>
      <c r="D6" s="13">
        <v>41684</v>
      </c>
      <c r="E6" s="14" t="s">
        <v>10</v>
      </c>
      <c r="F6" s="15" t="s">
        <v>11</v>
      </c>
      <c r="G6" s="16">
        <v>76</v>
      </c>
      <c r="H6" s="16">
        <v>50</v>
      </c>
      <c r="I6" s="17">
        <v>3</v>
      </c>
      <c r="J6" s="19">
        <v>44137.17</v>
      </c>
      <c r="K6" s="20">
        <v>4845</v>
      </c>
      <c r="L6" s="18">
        <f>K6/H6</f>
        <v>96.9</v>
      </c>
      <c r="M6" s="21">
        <f t="shared" ref="M6" si="0">+J6/K6</f>
        <v>9.109839009287926</v>
      </c>
      <c r="N6" s="22">
        <v>695518.48</v>
      </c>
      <c r="O6" s="23">
        <v>73231</v>
      </c>
      <c r="P6" s="24">
        <f t="shared" ref="P6" si="1">N6/O6</f>
        <v>9.4975963731206718</v>
      </c>
      <c r="Q6" s="25"/>
      <c r="R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3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2.5703125" style="27" customWidth="1"/>
    <col min="11" max="11" width="8.7109375" style="27" customWidth="1"/>
    <col min="12" max="13" width="5.42578125" style="27" bestFit="1" customWidth="1"/>
    <col min="14" max="14" width="10.85546875" style="27" customWidth="1"/>
    <col min="15" max="15" width="7.85546875" style="27" customWidth="1"/>
    <col min="16" max="16" width="8.85546875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200" t="s">
        <v>14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9" t="s">
        <v>17</v>
      </c>
      <c r="O2" s="204" t="s">
        <v>21</v>
      </c>
      <c r="P2" s="205"/>
    </row>
    <row r="3" spans="1:18" ht="30.75" customHeight="1" thickBot="1" x14ac:dyDescent="0.3">
      <c r="B3" s="202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1" t="s">
        <v>18</v>
      </c>
      <c r="O3" s="206" t="s">
        <v>22</v>
      </c>
      <c r="P3" s="207"/>
    </row>
    <row r="4" spans="1:18" s="4" customFormat="1" ht="16.5" customHeight="1" x14ac:dyDescent="0.25">
      <c r="A4" s="2"/>
      <c r="B4" s="3"/>
      <c r="C4" s="185" t="s">
        <v>0</v>
      </c>
      <c r="D4" s="187" t="s">
        <v>1</v>
      </c>
      <c r="E4" s="189" t="s">
        <v>2</v>
      </c>
      <c r="F4" s="189" t="s">
        <v>3</v>
      </c>
      <c r="G4" s="191" t="s">
        <v>4</v>
      </c>
      <c r="H4" s="191" t="s">
        <v>5</v>
      </c>
      <c r="I4" s="193" t="s">
        <v>13</v>
      </c>
      <c r="J4" s="172" t="s">
        <v>15</v>
      </c>
      <c r="K4" s="173"/>
      <c r="L4" s="173"/>
      <c r="M4" s="174"/>
      <c r="N4" s="172" t="s">
        <v>16</v>
      </c>
      <c r="O4" s="175"/>
      <c r="P4" s="176"/>
    </row>
    <row r="5" spans="1:18" s="4" customFormat="1" ht="23.25" thickBot="1" x14ac:dyDescent="0.3">
      <c r="A5" s="2"/>
      <c r="B5" s="5"/>
      <c r="C5" s="195"/>
      <c r="D5" s="196"/>
      <c r="E5" s="197"/>
      <c r="F5" s="197"/>
      <c r="G5" s="198"/>
      <c r="H5" s="198"/>
      <c r="I5" s="199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12" t="s">
        <v>9</v>
      </c>
      <c r="D6" s="13">
        <v>41684</v>
      </c>
      <c r="E6" s="14" t="s">
        <v>10</v>
      </c>
      <c r="F6" s="15" t="s">
        <v>11</v>
      </c>
      <c r="G6" s="16">
        <v>76</v>
      </c>
      <c r="H6" s="16">
        <v>106</v>
      </c>
      <c r="I6" s="17">
        <v>2</v>
      </c>
      <c r="J6" s="30">
        <v>194296.68</v>
      </c>
      <c r="K6" s="31">
        <v>19857</v>
      </c>
      <c r="L6" s="18">
        <f>K6/H6</f>
        <v>187.33018867924528</v>
      </c>
      <c r="M6" s="21">
        <f t="shared" ref="M6" si="0">+J6/K6</f>
        <v>9.7847952862970242</v>
      </c>
      <c r="N6" s="32">
        <v>651381.31000000006</v>
      </c>
      <c r="O6" s="33">
        <v>68386</v>
      </c>
      <c r="P6" s="24">
        <f t="shared" ref="P6" si="1">N6/O6</f>
        <v>9.5250681426022883</v>
      </c>
      <c r="Q6" s="25"/>
      <c r="R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3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2.5703125" style="27" customWidth="1"/>
    <col min="11" max="11" width="8.7109375" style="27" customWidth="1"/>
    <col min="12" max="13" width="5.42578125" style="27" bestFit="1" customWidth="1"/>
    <col min="14" max="14" width="10.85546875" style="27" customWidth="1"/>
    <col min="15" max="15" width="7.85546875" style="27" customWidth="1"/>
    <col min="16" max="16" width="8.85546875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200" t="s">
        <v>14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9" t="s">
        <v>17</v>
      </c>
      <c r="O2" s="204" t="s">
        <v>20</v>
      </c>
      <c r="P2" s="205"/>
    </row>
    <row r="3" spans="1:18" ht="30.75" customHeight="1" thickBot="1" x14ac:dyDescent="0.3">
      <c r="B3" s="202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1" t="s">
        <v>18</v>
      </c>
      <c r="O3" s="206" t="s">
        <v>19</v>
      </c>
      <c r="P3" s="207"/>
    </row>
    <row r="4" spans="1:18" s="4" customFormat="1" ht="16.5" customHeight="1" x14ac:dyDescent="0.25">
      <c r="A4" s="2"/>
      <c r="B4" s="3"/>
      <c r="C4" s="185" t="s">
        <v>0</v>
      </c>
      <c r="D4" s="187" t="s">
        <v>1</v>
      </c>
      <c r="E4" s="189" t="s">
        <v>2</v>
      </c>
      <c r="F4" s="189" t="s">
        <v>3</v>
      </c>
      <c r="G4" s="191" t="s">
        <v>4</v>
      </c>
      <c r="H4" s="191" t="s">
        <v>5</v>
      </c>
      <c r="I4" s="193" t="s">
        <v>13</v>
      </c>
      <c r="J4" s="172" t="s">
        <v>15</v>
      </c>
      <c r="K4" s="173"/>
      <c r="L4" s="173"/>
      <c r="M4" s="174"/>
      <c r="N4" s="172" t="s">
        <v>16</v>
      </c>
      <c r="O4" s="175"/>
      <c r="P4" s="176"/>
    </row>
    <row r="5" spans="1:18" s="4" customFormat="1" ht="23.25" thickBot="1" x14ac:dyDescent="0.3">
      <c r="A5" s="2"/>
      <c r="B5" s="5"/>
      <c r="C5" s="195"/>
      <c r="D5" s="196"/>
      <c r="E5" s="197"/>
      <c r="F5" s="197"/>
      <c r="G5" s="198"/>
      <c r="H5" s="198"/>
      <c r="I5" s="199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12" t="s">
        <v>9</v>
      </c>
      <c r="D6" s="13">
        <v>41684</v>
      </c>
      <c r="E6" s="14" t="s">
        <v>10</v>
      </c>
      <c r="F6" s="15" t="s">
        <v>11</v>
      </c>
      <c r="G6" s="16">
        <v>76</v>
      </c>
      <c r="H6" s="16">
        <v>117</v>
      </c>
      <c r="I6" s="17">
        <v>1</v>
      </c>
      <c r="J6" s="19">
        <v>457084.63</v>
      </c>
      <c r="K6" s="20">
        <v>48529</v>
      </c>
      <c r="L6" s="18">
        <f>K6/H6</f>
        <v>414.77777777777777</v>
      </c>
      <c r="M6" s="21">
        <f t="shared" ref="M6" si="0">+J6/K6</f>
        <v>9.4187935049145874</v>
      </c>
      <c r="N6" s="22">
        <v>457084.63</v>
      </c>
      <c r="O6" s="23">
        <v>48529</v>
      </c>
      <c r="P6" s="24">
        <f t="shared" ref="P6" si="1">N6/O6</f>
        <v>9.4187935049145874</v>
      </c>
      <c r="Q6" s="25"/>
      <c r="R6" s="26"/>
    </row>
  </sheetData>
  <mergeCells count="12">
    <mergeCell ref="N4:P4"/>
    <mergeCell ref="O2:P2"/>
    <mergeCell ref="O3:P3"/>
    <mergeCell ref="B2:M3"/>
    <mergeCell ref="I4:I5"/>
    <mergeCell ref="J4:M4"/>
    <mergeCell ref="C4:C5"/>
    <mergeCell ref="D4:D5"/>
    <mergeCell ref="E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77" t="s">
        <v>14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34" t="s">
        <v>17</v>
      </c>
      <c r="O2" s="181" t="s">
        <v>85</v>
      </c>
      <c r="P2" s="182"/>
    </row>
    <row r="3" spans="1:18" ht="30.75" customHeight="1" thickBot="1" x14ac:dyDescent="0.3"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35" t="s">
        <v>45</v>
      </c>
      <c r="O3" s="183" t="s">
        <v>86</v>
      </c>
      <c r="P3" s="184"/>
    </row>
    <row r="4" spans="1:18" s="4" customFormat="1" ht="16.5" customHeight="1" x14ac:dyDescent="0.25">
      <c r="A4" s="2"/>
      <c r="B4" s="3"/>
      <c r="C4" s="185" t="s">
        <v>0</v>
      </c>
      <c r="D4" s="187" t="s">
        <v>1</v>
      </c>
      <c r="E4" s="189" t="s">
        <v>2</v>
      </c>
      <c r="F4" s="189" t="s">
        <v>3</v>
      </c>
      <c r="G4" s="191" t="s">
        <v>4</v>
      </c>
      <c r="H4" s="191" t="s">
        <v>5</v>
      </c>
      <c r="I4" s="193" t="s">
        <v>13</v>
      </c>
      <c r="J4" s="172" t="s">
        <v>15</v>
      </c>
      <c r="K4" s="173"/>
      <c r="L4" s="173"/>
      <c r="M4" s="174"/>
      <c r="N4" s="172" t="s">
        <v>16</v>
      </c>
      <c r="O4" s="175"/>
      <c r="P4" s="176"/>
    </row>
    <row r="5" spans="1:18" s="4" customFormat="1" ht="15" customHeight="1" thickBot="1" x14ac:dyDescent="0.3">
      <c r="A5" s="2"/>
      <c r="B5" s="36"/>
      <c r="C5" s="186"/>
      <c r="D5" s="188"/>
      <c r="E5" s="190"/>
      <c r="F5" s="190"/>
      <c r="G5" s="192"/>
      <c r="H5" s="192"/>
      <c r="I5" s="194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08" t="s">
        <v>84</v>
      </c>
      <c r="D6" s="109">
        <v>41852</v>
      </c>
      <c r="E6" s="110" t="s">
        <v>10</v>
      </c>
      <c r="F6" s="111" t="s">
        <v>11</v>
      </c>
      <c r="G6" s="112">
        <v>9</v>
      </c>
      <c r="H6" s="113">
        <v>26</v>
      </c>
      <c r="I6" s="114">
        <v>2</v>
      </c>
      <c r="J6" s="127">
        <v>41511.800000000003</v>
      </c>
      <c r="K6" s="128">
        <v>3126</v>
      </c>
      <c r="L6" s="115">
        <f t="shared" ref="L6" si="0">K6/H6</f>
        <v>120.23076923076923</v>
      </c>
      <c r="M6" s="116">
        <f t="shared" ref="M6" si="1">+J6/K6</f>
        <v>13.279526551503519</v>
      </c>
      <c r="N6" s="138">
        <f>92729.6+41511.8</f>
        <v>134241.40000000002</v>
      </c>
      <c r="O6" s="130">
        <f>6247+3126</f>
        <v>9373</v>
      </c>
      <c r="P6" s="118">
        <f t="shared" ref="P6" si="2">N6/O6</f>
        <v>14.322138056118641</v>
      </c>
      <c r="Q6" s="126"/>
      <c r="R6" s="26"/>
    </row>
    <row r="7" spans="1:18" s="4" customFormat="1" ht="22.5" customHeight="1" x14ac:dyDescent="0.25">
      <c r="B7" s="79">
        <f t="shared" ref="B7:B18" si="3">B6+1</f>
        <v>2</v>
      </c>
      <c r="C7" s="120" t="s">
        <v>81</v>
      </c>
      <c r="D7" s="121">
        <v>41845</v>
      </c>
      <c r="E7" s="122" t="s">
        <v>10</v>
      </c>
      <c r="F7" s="123" t="s">
        <v>10</v>
      </c>
      <c r="G7" s="124">
        <v>23</v>
      </c>
      <c r="H7" s="85">
        <v>31</v>
      </c>
      <c r="I7" s="86">
        <v>3</v>
      </c>
      <c r="J7" s="87">
        <v>40435.99</v>
      </c>
      <c r="K7" s="88">
        <v>4805</v>
      </c>
      <c r="L7" s="89">
        <f t="shared" ref="L7:L18" si="4">K7/H7</f>
        <v>155</v>
      </c>
      <c r="M7" s="90">
        <f t="shared" ref="M7:M18" si="5">+J7/K7</f>
        <v>8.4153985431841836</v>
      </c>
      <c r="N7" s="91">
        <f>73428.48+65677.81+40435.99</f>
        <v>179542.27999999997</v>
      </c>
      <c r="O7" s="92">
        <f>7463+6959+4805</f>
        <v>19227</v>
      </c>
      <c r="P7" s="93">
        <f t="shared" ref="P7:P18" si="6">N7/O7</f>
        <v>9.3380288136474725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20" t="s">
        <v>74</v>
      </c>
      <c r="D8" s="121">
        <v>41831</v>
      </c>
      <c r="E8" s="122" t="s">
        <v>10</v>
      </c>
      <c r="F8" s="123" t="s">
        <v>75</v>
      </c>
      <c r="G8" s="124">
        <v>35</v>
      </c>
      <c r="H8" s="85">
        <v>17</v>
      </c>
      <c r="I8" s="86">
        <v>5</v>
      </c>
      <c r="J8" s="87">
        <v>24854.45</v>
      </c>
      <c r="K8" s="88">
        <v>2047</v>
      </c>
      <c r="L8" s="89">
        <f t="shared" si="4"/>
        <v>120.41176470588235</v>
      </c>
      <c r="M8" s="90">
        <f t="shared" si="5"/>
        <v>12.141890571568149</v>
      </c>
      <c r="N8" s="91">
        <f>204425.4+130339.21+47866.4+41040.53+24854.45</f>
        <v>448525.99000000005</v>
      </c>
      <c r="O8" s="92">
        <f>19421+12650+4370+3566+2047</f>
        <v>42054</v>
      </c>
      <c r="P8" s="93">
        <f t="shared" si="6"/>
        <v>10.665477481333525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20" t="s">
        <v>77</v>
      </c>
      <c r="D9" s="121">
        <v>41838</v>
      </c>
      <c r="E9" s="122" t="s">
        <v>10</v>
      </c>
      <c r="F9" s="123" t="s">
        <v>10</v>
      </c>
      <c r="G9" s="124">
        <v>20</v>
      </c>
      <c r="H9" s="85">
        <v>8</v>
      </c>
      <c r="I9" s="86">
        <v>4</v>
      </c>
      <c r="J9" s="87">
        <v>9913.1200000000008</v>
      </c>
      <c r="K9" s="88">
        <v>899</v>
      </c>
      <c r="L9" s="89">
        <f t="shared" si="4"/>
        <v>112.375</v>
      </c>
      <c r="M9" s="90">
        <f t="shared" si="5"/>
        <v>11.026829810901003</v>
      </c>
      <c r="N9" s="91">
        <f>83413.21+31376.4+14831.5+9913.12</f>
        <v>139534.23000000001</v>
      </c>
      <c r="O9" s="92">
        <f>6309+2343+1168+899</f>
        <v>10719</v>
      </c>
      <c r="P9" s="93">
        <f t="shared" si="6"/>
        <v>13.017467114469634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20" t="s">
        <v>61</v>
      </c>
      <c r="D10" s="121">
        <v>41796</v>
      </c>
      <c r="E10" s="122" t="s">
        <v>10</v>
      </c>
      <c r="F10" s="123" t="s">
        <v>10</v>
      </c>
      <c r="G10" s="124">
        <v>22</v>
      </c>
      <c r="H10" s="131">
        <v>8</v>
      </c>
      <c r="I10" s="132">
        <v>10</v>
      </c>
      <c r="J10" s="87">
        <v>9304</v>
      </c>
      <c r="K10" s="88">
        <v>999</v>
      </c>
      <c r="L10" s="89">
        <f t="shared" si="4"/>
        <v>124.875</v>
      </c>
      <c r="M10" s="90">
        <f t="shared" si="5"/>
        <v>9.3133133133133139</v>
      </c>
      <c r="N10" s="91">
        <f>166025.28+97326.52+57686.96+13701.5+11079.5+6936+18694.5+12272.5+7080.5+9304</f>
        <v>400107.26</v>
      </c>
      <c r="O10" s="92">
        <f>15114+9515+5786+1430+1181+648+1199+1400+830+999</f>
        <v>38102</v>
      </c>
      <c r="P10" s="93">
        <f t="shared" si="6"/>
        <v>10.500951656081046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20" t="s">
        <v>56</v>
      </c>
      <c r="D11" s="121">
        <v>41782</v>
      </c>
      <c r="E11" s="122" t="s">
        <v>10</v>
      </c>
      <c r="F11" s="123" t="s">
        <v>10</v>
      </c>
      <c r="G11" s="124">
        <v>30</v>
      </c>
      <c r="H11" s="131">
        <v>11</v>
      </c>
      <c r="I11" s="132">
        <v>12</v>
      </c>
      <c r="J11" s="133">
        <v>7448.1</v>
      </c>
      <c r="K11" s="134">
        <v>880</v>
      </c>
      <c r="L11" s="89">
        <f t="shared" si="4"/>
        <v>80</v>
      </c>
      <c r="M11" s="90">
        <f t="shared" si="5"/>
        <v>8.463750000000001</v>
      </c>
      <c r="N11" s="135">
        <f>95967.35+76227.39+34644.5+27256+29590.5+12797.63+9801.17+8948.5+7152.5+16352.94+12150.29+7448.1</f>
        <v>338336.86999999994</v>
      </c>
      <c r="O11" s="136">
        <f>9552+7384+3615+3071+3349+1439+1120+971+812+1886+1381+880</f>
        <v>35460</v>
      </c>
      <c r="P11" s="93">
        <f t="shared" si="6"/>
        <v>9.5413668922729826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20" t="s">
        <v>70</v>
      </c>
      <c r="D12" s="121">
        <v>41824</v>
      </c>
      <c r="E12" s="122" t="s">
        <v>10</v>
      </c>
      <c r="F12" s="123" t="s">
        <v>71</v>
      </c>
      <c r="G12" s="124">
        <v>32</v>
      </c>
      <c r="H12" s="131">
        <v>18</v>
      </c>
      <c r="I12" s="132">
        <v>6</v>
      </c>
      <c r="J12" s="87">
        <v>5741</v>
      </c>
      <c r="K12" s="88">
        <v>700</v>
      </c>
      <c r="L12" s="89">
        <f t="shared" si="4"/>
        <v>38.888888888888886</v>
      </c>
      <c r="M12" s="90">
        <f t="shared" si="5"/>
        <v>8.201428571428572</v>
      </c>
      <c r="N12" s="91">
        <f>32706.88+12882.41+6333.12+6483.62+4511.26+5741</f>
        <v>68658.290000000008</v>
      </c>
      <c r="O12" s="92">
        <f>3102+1318+704+809+562+700</f>
        <v>7195</v>
      </c>
      <c r="P12" s="93">
        <f t="shared" si="6"/>
        <v>9.5425003474635179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20" t="s">
        <v>36</v>
      </c>
      <c r="D13" s="121">
        <v>41740</v>
      </c>
      <c r="E13" s="122" t="s">
        <v>10</v>
      </c>
      <c r="F13" s="123" t="s">
        <v>10</v>
      </c>
      <c r="G13" s="124">
        <v>26</v>
      </c>
      <c r="H13" s="131">
        <v>7</v>
      </c>
      <c r="I13" s="132">
        <v>18</v>
      </c>
      <c r="J13" s="87">
        <v>5398.5</v>
      </c>
      <c r="K13" s="88">
        <v>720</v>
      </c>
      <c r="L13" s="89">
        <f t="shared" si="4"/>
        <v>102.85714285714286</v>
      </c>
      <c r="M13" s="90">
        <f t="shared" si="5"/>
        <v>7.4979166666666668</v>
      </c>
      <c r="N13" s="91">
        <f>125801.67+108052.78+37084.43+23601.43+21068.8+18394.5+13443.32+12736+17919.5+14888+14213.5+9410.5+7303.5+7446+7472+17657+7321+5398.5</f>
        <v>469212.43</v>
      </c>
      <c r="O13" s="92">
        <f>12315+10389+3812+2521+2588+2117+1563+1524+2098+1705+1607+1075+924+1045+1011+2258+951+720</f>
        <v>50223</v>
      </c>
      <c r="P13" s="93">
        <f t="shared" si="6"/>
        <v>9.3425806901220554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20" t="s">
        <v>48</v>
      </c>
      <c r="D14" s="121">
        <v>41768</v>
      </c>
      <c r="E14" s="122" t="s">
        <v>10</v>
      </c>
      <c r="F14" s="123" t="s">
        <v>10</v>
      </c>
      <c r="G14" s="124">
        <v>22</v>
      </c>
      <c r="H14" s="131">
        <v>13</v>
      </c>
      <c r="I14" s="132">
        <v>14</v>
      </c>
      <c r="J14" s="87">
        <v>5298.38</v>
      </c>
      <c r="K14" s="88">
        <v>672</v>
      </c>
      <c r="L14" s="89">
        <f t="shared" si="4"/>
        <v>51.692307692307693</v>
      </c>
      <c r="M14" s="90">
        <f t="shared" si="5"/>
        <v>7.8844940476190475</v>
      </c>
      <c r="N14" s="91">
        <f>96037.16+42293.76+11136.86+17605+22297.3+19062.27+11022+8010+7779.86+6062+4890+6980.36+5587.98+5298.38</f>
        <v>264062.93</v>
      </c>
      <c r="O14" s="92">
        <f>9852+4309+1246+1999+2461+2258+1374+975+960+792+668+1048+872+672</f>
        <v>29486</v>
      </c>
      <c r="P14" s="93">
        <f t="shared" si="6"/>
        <v>8.9555358475208564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20" t="s">
        <v>9</v>
      </c>
      <c r="D15" s="121">
        <v>41684</v>
      </c>
      <c r="E15" s="122" t="s">
        <v>10</v>
      </c>
      <c r="F15" s="123" t="s">
        <v>11</v>
      </c>
      <c r="G15" s="124">
        <v>76</v>
      </c>
      <c r="H15" s="131">
        <v>3</v>
      </c>
      <c r="I15" s="132">
        <v>26</v>
      </c>
      <c r="J15" s="87">
        <v>2118</v>
      </c>
      <c r="K15" s="88">
        <v>317</v>
      </c>
      <c r="L15" s="89">
        <f t="shared" si="4"/>
        <v>105.66666666666667</v>
      </c>
      <c r="M15" s="90">
        <f t="shared" si="5"/>
        <v>6.6813880126182967</v>
      </c>
      <c r="N15" s="91">
        <f>457084.63+194296.68+44137.17+13030+7400.5+9372.51+21985.7+8798+6823.5+11928.5+9039+10315.86+4561.58+5322+1536+3683.5+5700.5+7282+6570+2758+312+298+393+745+505+2118</f>
        <v>835996.63</v>
      </c>
      <c r="O15" s="92">
        <f>48529+19857+4845+1742+907+1325+3002+1302+917+1510+1343+1395+656+665+188+409+660+841+730+277+37+74+79+51+41+317</f>
        <v>91699</v>
      </c>
      <c r="P15" s="93">
        <f t="shared" si="6"/>
        <v>9.1167475108779819</v>
      </c>
      <c r="Q15" s="126"/>
      <c r="R15" s="26"/>
    </row>
    <row r="16" spans="1:18" s="4" customFormat="1" ht="22.5" customHeight="1" x14ac:dyDescent="0.25">
      <c r="B16" s="79">
        <f t="shared" si="3"/>
        <v>11</v>
      </c>
      <c r="C16" s="120" t="s">
        <v>33</v>
      </c>
      <c r="D16" s="121">
        <v>41726</v>
      </c>
      <c r="E16" s="122" t="s">
        <v>10</v>
      </c>
      <c r="F16" s="123" t="s">
        <v>10</v>
      </c>
      <c r="G16" s="124">
        <v>39</v>
      </c>
      <c r="H16" s="131">
        <v>5</v>
      </c>
      <c r="I16" s="132">
        <v>20</v>
      </c>
      <c r="J16" s="87">
        <v>1635.49</v>
      </c>
      <c r="K16" s="88">
        <v>184</v>
      </c>
      <c r="L16" s="89">
        <f t="shared" si="4"/>
        <v>36.799999999999997</v>
      </c>
      <c r="M16" s="90">
        <f t="shared" si="5"/>
        <v>8.8885326086956518</v>
      </c>
      <c r="N16" s="91">
        <f>231174.62+62282.23+5309.5+9347+8300+7582.5+7225.5+4781+2621+6241.6+5123+2544+2933+2417+1413+2523+1985.5+731+642+1635.49</f>
        <v>366811.93999999994</v>
      </c>
      <c r="O16" s="92">
        <f>20693+5291+479+930+887+837+776+691+255+784+638+378+427+336+199+316+233+78+70+184</f>
        <v>34482</v>
      </c>
      <c r="P16" s="93">
        <f t="shared" si="6"/>
        <v>10.637780291166404</v>
      </c>
      <c r="Q16" s="126"/>
      <c r="R16" s="26"/>
    </row>
    <row r="17" spans="2:18" s="4" customFormat="1" ht="22.5" customHeight="1" x14ac:dyDescent="0.25">
      <c r="B17" s="79">
        <f t="shared" si="3"/>
        <v>12</v>
      </c>
      <c r="C17" s="120" t="s">
        <v>44</v>
      </c>
      <c r="D17" s="121">
        <v>41754</v>
      </c>
      <c r="E17" s="122" t="s">
        <v>10</v>
      </c>
      <c r="F17" s="123" t="s">
        <v>10</v>
      </c>
      <c r="G17" s="124">
        <v>7</v>
      </c>
      <c r="H17" s="131">
        <v>1</v>
      </c>
      <c r="I17" s="132">
        <v>15</v>
      </c>
      <c r="J17" s="87">
        <v>384</v>
      </c>
      <c r="K17" s="88">
        <v>48</v>
      </c>
      <c r="L17" s="89">
        <f t="shared" si="4"/>
        <v>48</v>
      </c>
      <c r="M17" s="90">
        <f t="shared" si="5"/>
        <v>8</v>
      </c>
      <c r="N17" s="91">
        <f>60197.59+17202+321+844+1811.5+1331+5171+1531.5+1560.1+357+1636+1954.5+118+1887+384</f>
        <v>96306.19</v>
      </c>
      <c r="O17" s="92">
        <f>5024+1383+28+122+244+160+605+196+299+39+212+255+13+208+48</f>
        <v>8836</v>
      </c>
      <c r="P17" s="93">
        <f t="shared" si="6"/>
        <v>10.899297193300136</v>
      </c>
      <c r="Q17" s="126"/>
      <c r="R17" s="26"/>
    </row>
    <row r="18" spans="2:18" s="4" customFormat="1" ht="22.5" customHeight="1" thickBot="1" x14ac:dyDescent="0.3">
      <c r="B18" s="137">
        <f t="shared" si="3"/>
        <v>13</v>
      </c>
      <c r="C18" s="37" t="s">
        <v>41</v>
      </c>
      <c r="D18" s="38">
        <v>41747</v>
      </c>
      <c r="E18" s="39" t="s">
        <v>10</v>
      </c>
      <c r="F18" s="40" t="s">
        <v>10</v>
      </c>
      <c r="G18" s="41">
        <v>27</v>
      </c>
      <c r="H18" s="16">
        <v>1</v>
      </c>
      <c r="I18" s="17">
        <v>17</v>
      </c>
      <c r="J18" s="104">
        <v>19.5</v>
      </c>
      <c r="K18" s="66">
        <v>3</v>
      </c>
      <c r="L18" s="102">
        <f t="shared" si="4"/>
        <v>3</v>
      </c>
      <c r="M18" s="103">
        <f t="shared" si="5"/>
        <v>6.5</v>
      </c>
      <c r="N18" s="105">
        <f>186153.66+73200.86+7974.97+3137.5+2235.5+2569.5+1951+3923.5+2028.5+2570+1951+851+280.5+1284+387.5+714.5+19.5</f>
        <v>291232.99</v>
      </c>
      <c r="O18" s="106">
        <f>17828+6634+897+384+272+355+277+539+259+316+258+106+40+183+51+100+3</f>
        <v>28502</v>
      </c>
      <c r="P18" s="107">
        <f t="shared" si="6"/>
        <v>10.2179843519753</v>
      </c>
      <c r="Q18" s="126"/>
      <c r="R18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1 O12:O18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77" t="s">
        <v>14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34" t="s">
        <v>17</v>
      </c>
      <c r="O2" s="181" t="s">
        <v>82</v>
      </c>
      <c r="P2" s="182"/>
    </row>
    <row r="3" spans="1:18" ht="30.75" customHeight="1" thickBot="1" x14ac:dyDescent="0.3"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35" t="s">
        <v>45</v>
      </c>
      <c r="O3" s="183" t="s">
        <v>83</v>
      </c>
      <c r="P3" s="184"/>
    </row>
    <row r="4" spans="1:18" s="4" customFormat="1" ht="16.5" customHeight="1" x14ac:dyDescent="0.25">
      <c r="A4" s="2"/>
      <c r="B4" s="3"/>
      <c r="C4" s="185" t="s">
        <v>0</v>
      </c>
      <c r="D4" s="187" t="s">
        <v>1</v>
      </c>
      <c r="E4" s="189" t="s">
        <v>2</v>
      </c>
      <c r="F4" s="189" t="s">
        <v>3</v>
      </c>
      <c r="G4" s="191" t="s">
        <v>4</v>
      </c>
      <c r="H4" s="191" t="s">
        <v>5</v>
      </c>
      <c r="I4" s="193" t="s">
        <v>13</v>
      </c>
      <c r="J4" s="172" t="s">
        <v>15</v>
      </c>
      <c r="K4" s="173"/>
      <c r="L4" s="173"/>
      <c r="M4" s="174"/>
      <c r="N4" s="172" t="s">
        <v>16</v>
      </c>
      <c r="O4" s="175"/>
      <c r="P4" s="176"/>
    </row>
    <row r="5" spans="1:18" s="4" customFormat="1" ht="15" customHeight="1" thickBot="1" x14ac:dyDescent="0.3">
      <c r="A5" s="2"/>
      <c r="B5" s="36"/>
      <c r="C5" s="186"/>
      <c r="D5" s="188"/>
      <c r="E5" s="190"/>
      <c r="F5" s="190"/>
      <c r="G5" s="192"/>
      <c r="H5" s="192"/>
      <c r="I5" s="194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08" t="s">
        <v>84</v>
      </c>
      <c r="D6" s="109">
        <v>41852</v>
      </c>
      <c r="E6" s="110" t="s">
        <v>10</v>
      </c>
      <c r="F6" s="111" t="s">
        <v>11</v>
      </c>
      <c r="G6" s="112">
        <v>9</v>
      </c>
      <c r="H6" s="113">
        <v>25</v>
      </c>
      <c r="I6" s="114">
        <v>1</v>
      </c>
      <c r="J6" s="117">
        <v>92729.600000000006</v>
      </c>
      <c r="K6" s="54">
        <v>6247</v>
      </c>
      <c r="L6" s="115">
        <f t="shared" ref="L6" si="0">K6/H6</f>
        <v>249.88</v>
      </c>
      <c r="M6" s="116">
        <f t="shared" ref="M6" si="1">+J6/K6</f>
        <v>14.843861053305588</v>
      </c>
      <c r="N6" s="78">
        <f>92729.6</f>
        <v>92729.600000000006</v>
      </c>
      <c r="O6" s="56">
        <f>6247</f>
        <v>6247</v>
      </c>
      <c r="P6" s="118">
        <f t="shared" ref="P6" si="2">N6/O6</f>
        <v>14.843861053305588</v>
      </c>
      <c r="Q6" s="126"/>
      <c r="R6" s="26"/>
    </row>
    <row r="7" spans="1:18" s="4" customFormat="1" ht="22.5" customHeight="1" x14ac:dyDescent="0.25">
      <c r="B7" s="79">
        <f t="shared" ref="B7:B19" si="3">B6+1</f>
        <v>2</v>
      </c>
      <c r="C7" s="120" t="s">
        <v>81</v>
      </c>
      <c r="D7" s="121">
        <v>41845</v>
      </c>
      <c r="E7" s="122" t="s">
        <v>10</v>
      </c>
      <c r="F7" s="123" t="s">
        <v>10</v>
      </c>
      <c r="G7" s="124">
        <v>23</v>
      </c>
      <c r="H7" s="85">
        <v>36</v>
      </c>
      <c r="I7" s="86">
        <v>2</v>
      </c>
      <c r="J7" s="87">
        <v>65677.81</v>
      </c>
      <c r="K7" s="88">
        <v>6959</v>
      </c>
      <c r="L7" s="89">
        <f t="shared" ref="L7:L19" si="4">K7/H7</f>
        <v>193.30555555555554</v>
      </c>
      <c r="M7" s="90">
        <f t="shared" ref="M7:M19" si="5">+J7/K7</f>
        <v>9.4378229630694062</v>
      </c>
      <c r="N7" s="91">
        <f>73428.48+65677.81</f>
        <v>139106.28999999998</v>
      </c>
      <c r="O7" s="92">
        <f>7463+6959</f>
        <v>14422</v>
      </c>
      <c r="P7" s="93">
        <f t="shared" ref="P7:P19" si="6">N7/O7</f>
        <v>9.6454229649147116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20" t="s">
        <v>74</v>
      </c>
      <c r="D8" s="121">
        <v>41831</v>
      </c>
      <c r="E8" s="122" t="s">
        <v>10</v>
      </c>
      <c r="F8" s="123" t="s">
        <v>75</v>
      </c>
      <c r="G8" s="124">
        <v>35</v>
      </c>
      <c r="H8" s="85">
        <v>26</v>
      </c>
      <c r="I8" s="86">
        <v>4</v>
      </c>
      <c r="J8" s="87">
        <v>41040.53</v>
      </c>
      <c r="K8" s="88">
        <v>3566</v>
      </c>
      <c r="L8" s="89">
        <f t="shared" si="4"/>
        <v>137.15384615384616</v>
      </c>
      <c r="M8" s="90">
        <f t="shared" si="5"/>
        <v>11.508841839596187</v>
      </c>
      <c r="N8" s="91">
        <f>204425.4+130339.21+47866.4+41040.53</f>
        <v>423671.54000000004</v>
      </c>
      <c r="O8" s="92">
        <f>19421+12650+4370+3566</f>
        <v>40007</v>
      </c>
      <c r="P8" s="93">
        <f t="shared" si="6"/>
        <v>10.589935261329268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20" t="s">
        <v>77</v>
      </c>
      <c r="D9" s="121">
        <v>41838</v>
      </c>
      <c r="E9" s="122" t="s">
        <v>10</v>
      </c>
      <c r="F9" s="123" t="s">
        <v>10</v>
      </c>
      <c r="G9" s="124">
        <v>20</v>
      </c>
      <c r="H9" s="85">
        <v>9</v>
      </c>
      <c r="I9" s="86">
        <v>3</v>
      </c>
      <c r="J9" s="87">
        <v>14831.5</v>
      </c>
      <c r="K9" s="88">
        <v>1168</v>
      </c>
      <c r="L9" s="89">
        <f t="shared" si="4"/>
        <v>129.77777777777777</v>
      </c>
      <c r="M9" s="90">
        <f t="shared" si="5"/>
        <v>12.698202054794521</v>
      </c>
      <c r="N9" s="91">
        <f>83413.21+31376.4+14831.5</f>
        <v>129621.11000000002</v>
      </c>
      <c r="O9" s="92">
        <f>6309+2343+1168</f>
        <v>9820</v>
      </c>
      <c r="P9" s="93">
        <f t="shared" si="6"/>
        <v>13.199705702647659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20" t="s">
        <v>56</v>
      </c>
      <c r="D10" s="121">
        <v>41782</v>
      </c>
      <c r="E10" s="122" t="s">
        <v>10</v>
      </c>
      <c r="F10" s="123" t="s">
        <v>10</v>
      </c>
      <c r="G10" s="124">
        <v>30</v>
      </c>
      <c r="H10" s="131">
        <v>14</v>
      </c>
      <c r="I10" s="132">
        <v>11</v>
      </c>
      <c r="J10" s="87">
        <v>12150.29</v>
      </c>
      <c r="K10" s="88">
        <v>1381</v>
      </c>
      <c r="L10" s="89">
        <f>K10/H10</f>
        <v>98.642857142857139</v>
      </c>
      <c r="M10" s="90">
        <f>+J10/K10</f>
        <v>8.7981824764663301</v>
      </c>
      <c r="N10" s="91">
        <f>95967.35+76227.39+34644.5+27256+29590.5+12797.63+9801.17+8948.5+7152.5+16352.94+12150.29</f>
        <v>330888.76999999996</v>
      </c>
      <c r="O10" s="92">
        <f>9552+7384+3615+3071+3349+1439+1120+971+812+1886+1381</f>
        <v>34580</v>
      </c>
      <c r="P10" s="93">
        <f>N10/O10</f>
        <v>9.5687903412377082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20" t="s">
        <v>36</v>
      </c>
      <c r="D11" s="121">
        <v>41740</v>
      </c>
      <c r="E11" s="122" t="s">
        <v>10</v>
      </c>
      <c r="F11" s="123" t="s">
        <v>10</v>
      </c>
      <c r="G11" s="124">
        <v>26</v>
      </c>
      <c r="H11" s="131">
        <v>10</v>
      </c>
      <c r="I11" s="132">
        <v>17</v>
      </c>
      <c r="J11" s="87">
        <v>7321</v>
      </c>
      <c r="K11" s="88">
        <v>951</v>
      </c>
      <c r="L11" s="89">
        <f t="shared" si="4"/>
        <v>95.1</v>
      </c>
      <c r="M11" s="90">
        <f t="shared" si="5"/>
        <v>7.6982124079915879</v>
      </c>
      <c r="N11" s="91">
        <f>125801.67+108052.78+37084.43+23601.43+21068.8+18394.5+13443.32+12736+17919.5+14888+14213.5+9410.5+7303.5+7446+7472+17657+7321</f>
        <v>463813.93</v>
      </c>
      <c r="O11" s="92">
        <f>12315+10389+3812+2521+2588+2117+1563+1524+2098+1705+1607+1075+924+1045+1011+2258+951</f>
        <v>49503</v>
      </c>
      <c r="P11" s="93">
        <f t="shared" si="6"/>
        <v>9.3694105407753057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20" t="s">
        <v>61</v>
      </c>
      <c r="D12" s="121">
        <v>41796</v>
      </c>
      <c r="E12" s="122" t="s">
        <v>10</v>
      </c>
      <c r="F12" s="123" t="s">
        <v>10</v>
      </c>
      <c r="G12" s="124">
        <v>22</v>
      </c>
      <c r="H12" s="131">
        <v>10</v>
      </c>
      <c r="I12" s="132">
        <v>9</v>
      </c>
      <c r="J12" s="87">
        <v>7080.5</v>
      </c>
      <c r="K12" s="88">
        <v>830</v>
      </c>
      <c r="L12" s="89">
        <f t="shared" si="4"/>
        <v>83</v>
      </c>
      <c r="M12" s="90">
        <f t="shared" si="5"/>
        <v>8.5307228915662652</v>
      </c>
      <c r="N12" s="91">
        <f>166025.28+97326.52+57686.96+13701.5+11079.5+6936+18694.5+12272.5+7080.5</f>
        <v>390803.26</v>
      </c>
      <c r="O12" s="92">
        <f>15114+9515+5786+1430+1181+648+1199+1400+830</f>
        <v>37103</v>
      </c>
      <c r="P12" s="93">
        <f t="shared" si="6"/>
        <v>10.532928873675983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20" t="s">
        <v>48</v>
      </c>
      <c r="D13" s="121">
        <v>41768</v>
      </c>
      <c r="E13" s="122" t="s">
        <v>10</v>
      </c>
      <c r="F13" s="123" t="s">
        <v>10</v>
      </c>
      <c r="G13" s="124">
        <v>22</v>
      </c>
      <c r="H13" s="131">
        <v>13</v>
      </c>
      <c r="I13" s="132">
        <v>13</v>
      </c>
      <c r="J13" s="87">
        <v>5587.98</v>
      </c>
      <c r="K13" s="88">
        <v>872</v>
      </c>
      <c r="L13" s="89">
        <f t="shared" si="4"/>
        <v>67.07692307692308</v>
      </c>
      <c r="M13" s="90">
        <f t="shared" si="5"/>
        <v>6.4082339449541283</v>
      </c>
      <c r="N13" s="91">
        <f>96037.16+42293.76+11136.86+17605+22297.3+19062.27+11022+8010+7779.86+6062+4890+6980.36+5587.98</f>
        <v>258764.55</v>
      </c>
      <c r="O13" s="92">
        <f>9852+4309+1246+1999+2461+2258+1374+975+960+792+668+1048+872</f>
        <v>28814</v>
      </c>
      <c r="P13" s="93">
        <f t="shared" si="6"/>
        <v>8.9805146803637115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20" t="s">
        <v>53</v>
      </c>
      <c r="D14" s="121">
        <v>41775</v>
      </c>
      <c r="E14" s="122" t="s">
        <v>10</v>
      </c>
      <c r="F14" s="123" t="s">
        <v>10</v>
      </c>
      <c r="G14" s="124">
        <v>10</v>
      </c>
      <c r="H14" s="131">
        <v>2</v>
      </c>
      <c r="I14" s="132">
        <v>5</v>
      </c>
      <c r="J14" s="87">
        <v>5200</v>
      </c>
      <c r="K14" s="88">
        <v>532</v>
      </c>
      <c r="L14" s="89">
        <f>K14/H14</f>
        <v>266</v>
      </c>
      <c r="M14" s="90">
        <f>+J14/K14</f>
        <v>9.7744360902255636</v>
      </c>
      <c r="N14" s="91">
        <f>69932.94+14+5200</f>
        <v>75146.94</v>
      </c>
      <c r="O14" s="92">
        <f>5930+2+532</f>
        <v>6464</v>
      </c>
      <c r="P14" s="93">
        <f>N14/O14</f>
        <v>11.625454826732673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20" t="s">
        <v>70</v>
      </c>
      <c r="D15" s="121">
        <v>41824</v>
      </c>
      <c r="E15" s="122" t="s">
        <v>10</v>
      </c>
      <c r="F15" s="123" t="s">
        <v>71</v>
      </c>
      <c r="G15" s="124">
        <v>32</v>
      </c>
      <c r="H15" s="131">
        <v>18</v>
      </c>
      <c r="I15" s="132">
        <v>5</v>
      </c>
      <c r="J15" s="87">
        <v>4511.26</v>
      </c>
      <c r="K15" s="88">
        <v>562</v>
      </c>
      <c r="L15" s="89">
        <f t="shared" si="4"/>
        <v>31.222222222222221</v>
      </c>
      <c r="M15" s="90">
        <f t="shared" si="5"/>
        <v>8.0271530249110317</v>
      </c>
      <c r="N15" s="91">
        <f>32706.88+12882.41+6333.12+6483.62+4511.26</f>
        <v>62917.290000000008</v>
      </c>
      <c r="O15" s="92">
        <f>3102+1318+704+809+562</f>
        <v>6495</v>
      </c>
      <c r="P15" s="93">
        <f t="shared" si="6"/>
        <v>9.6870346420323337</v>
      </c>
      <c r="Q15" s="126"/>
      <c r="R15" s="26"/>
    </row>
    <row r="16" spans="1:18" s="4" customFormat="1" ht="22.5" customHeight="1" x14ac:dyDescent="0.25">
      <c r="B16" s="79">
        <f t="shared" si="3"/>
        <v>11</v>
      </c>
      <c r="C16" s="120" t="s">
        <v>44</v>
      </c>
      <c r="D16" s="121">
        <v>41754</v>
      </c>
      <c r="E16" s="122" t="s">
        <v>10</v>
      </c>
      <c r="F16" s="123" t="s">
        <v>10</v>
      </c>
      <c r="G16" s="124">
        <v>7</v>
      </c>
      <c r="H16" s="131">
        <v>2</v>
      </c>
      <c r="I16" s="132">
        <v>14</v>
      </c>
      <c r="J16" s="87">
        <v>1887</v>
      </c>
      <c r="K16" s="88">
        <v>208</v>
      </c>
      <c r="L16" s="89">
        <f>K16/H16</f>
        <v>104</v>
      </c>
      <c r="M16" s="90">
        <f>+J16/K16</f>
        <v>9.072115384615385</v>
      </c>
      <c r="N16" s="91">
        <f>60197.59+17202+321+844+1811.5+1331+5171+1531.5+1560.1+357+1636+1954.5+118+1887</f>
        <v>95922.19</v>
      </c>
      <c r="O16" s="92">
        <f>5024+1383+28+122+244+160+605+196+299+39+212+255+13+208</f>
        <v>8788</v>
      </c>
      <c r="P16" s="93">
        <f>N16/O16</f>
        <v>10.915133136094674</v>
      </c>
      <c r="Q16" s="126"/>
      <c r="R16" s="26"/>
    </row>
    <row r="17" spans="2:18" s="4" customFormat="1" ht="22.5" customHeight="1" x14ac:dyDescent="0.25">
      <c r="B17" s="79">
        <f t="shared" si="3"/>
        <v>12</v>
      </c>
      <c r="C17" s="120" t="s">
        <v>41</v>
      </c>
      <c r="D17" s="121">
        <v>41747</v>
      </c>
      <c r="E17" s="122" t="s">
        <v>10</v>
      </c>
      <c r="F17" s="123" t="s">
        <v>10</v>
      </c>
      <c r="G17" s="124">
        <v>27</v>
      </c>
      <c r="H17" s="131">
        <v>5</v>
      </c>
      <c r="I17" s="132">
        <v>16</v>
      </c>
      <c r="J17" s="87">
        <v>714.5</v>
      </c>
      <c r="K17" s="88">
        <v>100</v>
      </c>
      <c r="L17" s="89">
        <f>K17/H17</f>
        <v>20</v>
      </c>
      <c r="M17" s="90">
        <f>+J17/K17</f>
        <v>7.1449999999999996</v>
      </c>
      <c r="N17" s="91">
        <f>186153.66+73200.86+7974.97+3137.5+2235.5+2569.5+1951+3923.5+2028.5+2570+1951+851+280.5+1284+387.5+714.5</f>
        <v>291213.49</v>
      </c>
      <c r="O17" s="92">
        <f>17828+6634+897+384+272+355+277+539+259+316+258+106+40+183+51+100</f>
        <v>28499</v>
      </c>
      <c r="P17" s="93">
        <f>N17/O17</f>
        <v>10.218375732481841</v>
      </c>
      <c r="Q17" s="126"/>
      <c r="R17" s="26"/>
    </row>
    <row r="18" spans="2:18" s="4" customFormat="1" ht="22.5" customHeight="1" x14ac:dyDescent="0.25">
      <c r="B18" s="79">
        <f t="shared" si="3"/>
        <v>13</v>
      </c>
      <c r="C18" s="120" t="s">
        <v>33</v>
      </c>
      <c r="D18" s="121">
        <v>41726</v>
      </c>
      <c r="E18" s="122" t="s">
        <v>10</v>
      </c>
      <c r="F18" s="123" t="s">
        <v>10</v>
      </c>
      <c r="G18" s="124">
        <v>39</v>
      </c>
      <c r="H18" s="131">
        <v>3</v>
      </c>
      <c r="I18" s="132">
        <v>19</v>
      </c>
      <c r="J18" s="87">
        <v>642</v>
      </c>
      <c r="K18" s="88">
        <v>70</v>
      </c>
      <c r="L18" s="89">
        <f>K18/H18</f>
        <v>23.333333333333332</v>
      </c>
      <c r="M18" s="90">
        <f>+J18/K18</f>
        <v>9.1714285714285708</v>
      </c>
      <c r="N18" s="91">
        <f>231174.62+62282.23+5309.5+9347+8300+7582.5+7225.5+4781+2621+6241.6+5123+2544+2933+2417+1413+2523+1985.5+731+642</f>
        <v>365176.44999999995</v>
      </c>
      <c r="O18" s="92">
        <f>20693+5291+479+930+887+837+776+691+255+784+638+378+427+336+199+316+233+78+70</f>
        <v>34298</v>
      </c>
      <c r="P18" s="93">
        <f>N18/O18</f>
        <v>10.647164557700156</v>
      </c>
      <c r="Q18" s="126"/>
      <c r="R18" s="26"/>
    </row>
    <row r="19" spans="2:18" s="4" customFormat="1" ht="22.5" customHeight="1" thickBot="1" x14ac:dyDescent="0.3">
      <c r="B19" s="11">
        <f t="shared" si="3"/>
        <v>14</v>
      </c>
      <c r="C19" s="37" t="s">
        <v>9</v>
      </c>
      <c r="D19" s="38">
        <v>41684</v>
      </c>
      <c r="E19" s="39" t="s">
        <v>10</v>
      </c>
      <c r="F19" s="40" t="s">
        <v>11</v>
      </c>
      <c r="G19" s="41">
        <v>76</v>
      </c>
      <c r="H19" s="16">
        <v>1</v>
      </c>
      <c r="I19" s="17">
        <v>25</v>
      </c>
      <c r="J19" s="104">
        <v>505</v>
      </c>
      <c r="K19" s="66">
        <v>41</v>
      </c>
      <c r="L19" s="102">
        <f t="shared" si="4"/>
        <v>41</v>
      </c>
      <c r="M19" s="103">
        <f t="shared" si="5"/>
        <v>12.317073170731707</v>
      </c>
      <c r="N19" s="105">
        <f>457084.63+194296.68+44137.17+13030+7400.5+9372.51+21985.7+8798+6823.5+11928.5+9039+10315.86+4561.58+5322+1536+3683.5+5700.5+7282+6570+2758+312+298+393+745+505</f>
        <v>833878.63</v>
      </c>
      <c r="O19" s="106">
        <f>48529+19857+4845+1742+907+1325+3002+1302+917+1510+1343+1395+656+665+188+409+660+841+730+277+37+74+79+51+41</f>
        <v>91382</v>
      </c>
      <c r="P19" s="107">
        <f t="shared" si="6"/>
        <v>9.1251956621654156</v>
      </c>
      <c r="Q19" s="126"/>
      <c r="R19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77" t="s">
        <v>14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34" t="s">
        <v>17</v>
      </c>
      <c r="O2" s="181" t="s">
        <v>79</v>
      </c>
      <c r="P2" s="182"/>
    </row>
    <row r="3" spans="1:18" ht="30.75" customHeight="1" thickBot="1" x14ac:dyDescent="0.3"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35" t="s">
        <v>45</v>
      </c>
      <c r="O3" s="183" t="s">
        <v>80</v>
      </c>
      <c r="P3" s="184"/>
    </row>
    <row r="4" spans="1:18" s="4" customFormat="1" ht="16.5" customHeight="1" x14ac:dyDescent="0.25">
      <c r="A4" s="2"/>
      <c r="B4" s="3"/>
      <c r="C4" s="185" t="s">
        <v>0</v>
      </c>
      <c r="D4" s="187" t="s">
        <v>1</v>
      </c>
      <c r="E4" s="189" t="s">
        <v>2</v>
      </c>
      <c r="F4" s="189" t="s">
        <v>3</v>
      </c>
      <c r="G4" s="191" t="s">
        <v>4</v>
      </c>
      <c r="H4" s="191" t="s">
        <v>5</v>
      </c>
      <c r="I4" s="193" t="s">
        <v>13</v>
      </c>
      <c r="J4" s="172" t="s">
        <v>15</v>
      </c>
      <c r="K4" s="173"/>
      <c r="L4" s="173"/>
      <c r="M4" s="174"/>
      <c r="N4" s="172" t="s">
        <v>16</v>
      </c>
      <c r="O4" s="175"/>
      <c r="P4" s="176"/>
    </row>
    <row r="5" spans="1:18" s="4" customFormat="1" ht="15" customHeight="1" thickBot="1" x14ac:dyDescent="0.3">
      <c r="A5" s="2"/>
      <c r="B5" s="36"/>
      <c r="C5" s="186"/>
      <c r="D5" s="188"/>
      <c r="E5" s="190"/>
      <c r="F5" s="190"/>
      <c r="G5" s="192"/>
      <c r="H5" s="192"/>
      <c r="I5" s="194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 t="shared" ref="B6:B17" si="0">B5+1</f>
        <v>1</v>
      </c>
      <c r="C6" s="108" t="s">
        <v>81</v>
      </c>
      <c r="D6" s="109">
        <v>41845</v>
      </c>
      <c r="E6" s="110" t="s">
        <v>10</v>
      </c>
      <c r="F6" s="111" t="s">
        <v>10</v>
      </c>
      <c r="G6" s="112">
        <v>23</v>
      </c>
      <c r="H6" s="113">
        <v>35</v>
      </c>
      <c r="I6" s="114">
        <v>1</v>
      </c>
      <c r="J6" s="117">
        <v>73428.479999999996</v>
      </c>
      <c r="K6" s="54">
        <v>7463</v>
      </c>
      <c r="L6" s="115">
        <f t="shared" ref="L6" si="1">K6/H6</f>
        <v>213.22857142857143</v>
      </c>
      <c r="M6" s="116">
        <f t="shared" ref="M6" si="2">+J6/K6</f>
        <v>9.8390030818705601</v>
      </c>
      <c r="N6" s="78">
        <f>73428.48</f>
        <v>73428.479999999996</v>
      </c>
      <c r="O6" s="56">
        <f>7463</f>
        <v>7463</v>
      </c>
      <c r="P6" s="118">
        <f t="shared" ref="P6" si="3">N6/O6</f>
        <v>9.8390030818705601</v>
      </c>
      <c r="Q6" s="126"/>
      <c r="R6" s="26"/>
    </row>
    <row r="7" spans="1:18" s="4" customFormat="1" ht="22.5" customHeight="1" x14ac:dyDescent="0.25">
      <c r="B7" s="79">
        <f t="shared" si="0"/>
        <v>2</v>
      </c>
      <c r="C7" s="120" t="s">
        <v>74</v>
      </c>
      <c r="D7" s="121">
        <v>41831</v>
      </c>
      <c r="E7" s="122" t="s">
        <v>10</v>
      </c>
      <c r="F7" s="123" t="s">
        <v>75</v>
      </c>
      <c r="G7" s="124">
        <v>35</v>
      </c>
      <c r="H7" s="85">
        <v>49</v>
      </c>
      <c r="I7" s="86">
        <v>3</v>
      </c>
      <c r="J7" s="133">
        <v>47866.400000000001</v>
      </c>
      <c r="K7" s="134">
        <v>4370</v>
      </c>
      <c r="L7" s="89">
        <f t="shared" ref="L7" si="4">K7/H7</f>
        <v>89.183673469387756</v>
      </c>
      <c r="M7" s="90">
        <f t="shared" ref="M7" si="5">+J7/K7</f>
        <v>10.953409610983982</v>
      </c>
      <c r="N7" s="135">
        <f>204425.4+130339.21+47866.4</f>
        <v>382631.01</v>
      </c>
      <c r="O7" s="136">
        <f>19421+12650+4370</f>
        <v>36441</v>
      </c>
      <c r="P7" s="93">
        <f t="shared" ref="P7" si="6">N7/O7</f>
        <v>10.500013995225158</v>
      </c>
      <c r="Q7" s="126"/>
      <c r="R7" s="26"/>
    </row>
    <row r="8" spans="1:18" s="4" customFormat="1" ht="22.5" customHeight="1" x14ac:dyDescent="0.25">
      <c r="B8" s="79">
        <f t="shared" si="0"/>
        <v>3</v>
      </c>
      <c r="C8" s="120" t="s">
        <v>77</v>
      </c>
      <c r="D8" s="121">
        <v>41838</v>
      </c>
      <c r="E8" s="122" t="s">
        <v>10</v>
      </c>
      <c r="F8" s="123" t="s">
        <v>10</v>
      </c>
      <c r="G8" s="124">
        <v>20</v>
      </c>
      <c r="H8" s="85">
        <v>24</v>
      </c>
      <c r="I8" s="86">
        <v>2</v>
      </c>
      <c r="J8" s="133">
        <v>31376.400000000001</v>
      </c>
      <c r="K8" s="134">
        <v>2343</v>
      </c>
      <c r="L8" s="89">
        <f t="shared" ref="L8:L17" si="7">K8/H8</f>
        <v>97.625</v>
      </c>
      <c r="M8" s="90">
        <f t="shared" ref="M8:M17" si="8">+J8/K8</f>
        <v>13.391549295774649</v>
      </c>
      <c r="N8" s="135">
        <f>83413.21+31376.4</f>
        <v>114789.61000000002</v>
      </c>
      <c r="O8" s="136">
        <f>6309+2343</f>
        <v>8652</v>
      </c>
      <c r="P8" s="93">
        <f t="shared" ref="P8:P17" si="9">N8/O8</f>
        <v>13.267407535829868</v>
      </c>
      <c r="Q8" s="126"/>
      <c r="R8" s="26"/>
    </row>
    <row r="9" spans="1:18" s="4" customFormat="1" ht="22.5" customHeight="1" x14ac:dyDescent="0.25">
      <c r="B9" s="79">
        <f t="shared" si="0"/>
        <v>4</v>
      </c>
      <c r="C9" s="120" t="s">
        <v>36</v>
      </c>
      <c r="D9" s="121">
        <v>41740</v>
      </c>
      <c r="E9" s="122" t="s">
        <v>10</v>
      </c>
      <c r="F9" s="123" t="s">
        <v>10</v>
      </c>
      <c r="G9" s="124">
        <v>26</v>
      </c>
      <c r="H9" s="131">
        <v>12</v>
      </c>
      <c r="I9" s="132">
        <v>16</v>
      </c>
      <c r="J9" s="87">
        <v>17657</v>
      </c>
      <c r="K9" s="88">
        <v>2258</v>
      </c>
      <c r="L9" s="89">
        <f t="shared" si="7"/>
        <v>188.16666666666666</v>
      </c>
      <c r="M9" s="90">
        <f t="shared" si="8"/>
        <v>7.8197519929140835</v>
      </c>
      <c r="N9" s="91">
        <f>125801.67+108052.78+37084.43+23601.43+21068.8+18394.5+13443.32+12736+17919.5+14888+14213.5+9410.5+7303.5+7446+7472+17657</f>
        <v>456492.93</v>
      </c>
      <c r="O9" s="92">
        <f>12315+10389+3812+2521+2588+2117+1563+1524+2098+1705+1607+1075+924+1045+1011+2258</f>
        <v>48552</v>
      </c>
      <c r="P9" s="93">
        <f t="shared" si="9"/>
        <v>9.4021447108255067</v>
      </c>
      <c r="Q9" s="126"/>
      <c r="R9" s="26"/>
    </row>
    <row r="10" spans="1:18" s="4" customFormat="1" ht="22.5" customHeight="1" x14ac:dyDescent="0.25">
      <c r="B10" s="79">
        <f t="shared" si="0"/>
        <v>5</v>
      </c>
      <c r="C10" s="120" t="s">
        <v>56</v>
      </c>
      <c r="D10" s="121">
        <v>41782</v>
      </c>
      <c r="E10" s="122" t="s">
        <v>10</v>
      </c>
      <c r="F10" s="123" t="s">
        <v>10</v>
      </c>
      <c r="G10" s="124">
        <v>30</v>
      </c>
      <c r="H10" s="131">
        <v>15</v>
      </c>
      <c r="I10" s="132">
        <v>10</v>
      </c>
      <c r="J10" s="87">
        <v>16352.94</v>
      </c>
      <c r="K10" s="88">
        <v>1886</v>
      </c>
      <c r="L10" s="89">
        <f t="shared" si="7"/>
        <v>125.73333333333333</v>
      </c>
      <c r="M10" s="90">
        <f t="shared" si="8"/>
        <v>8.6706998939554616</v>
      </c>
      <c r="N10" s="91">
        <f>95967.35+76227.39+34644.5+27256+29590.5+12797.63+9801.17+8948.5+7152.5+16352.94</f>
        <v>318738.48</v>
      </c>
      <c r="O10" s="92">
        <f>9552+7384+3615+3071+3349+1439+1120+971+812+1886</f>
        <v>33199</v>
      </c>
      <c r="P10" s="93">
        <f t="shared" si="9"/>
        <v>9.6008458086086925</v>
      </c>
      <c r="Q10" s="126"/>
      <c r="R10" s="26"/>
    </row>
    <row r="11" spans="1:18" s="4" customFormat="1" ht="22.5" customHeight="1" x14ac:dyDescent="0.25">
      <c r="B11" s="79">
        <f t="shared" si="0"/>
        <v>6</v>
      </c>
      <c r="C11" s="120" t="s">
        <v>61</v>
      </c>
      <c r="D11" s="121">
        <v>41796</v>
      </c>
      <c r="E11" s="122" t="s">
        <v>10</v>
      </c>
      <c r="F11" s="123" t="s">
        <v>10</v>
      </c>
      <c r="G11" s="124">
        <v>22</v>
      </c>
      <c r="H11" s="131">
        <v>10</v>
      </c>
      <c r="I11" s="132">
        <v>8</v>
      </c>
      <c r="J11" s="87">
        <v>12272.5</v>
      </c>
      <c r="K11" s="88">
        <v>1400</v>
      </c>
      <c r="L11" s="89">
        <f t="shared" si="7"/>
        <v>140</v>
      </c>
      <c r="M11" s="90">
        <f t="shared" si="8"/>
        <v>8.7660714285714292</v>
      </c>
      <c r="N11" s="91">
        <f>166025.28+97326.52+57686.96+13701.5+11079.5+6936+18694.5+12272.5</f>
        <v>383722.76</v>
      </c>
      <c r="O11" s="92">
        <f>15114+9515+5786+1430+1181+648+1199+1400</f>
        <v>36273</v>
      </c>
      <c r="P11" s="93">
        <f t="shared" si="9"/>
        <v>10.578743417969289</v>
      </c>
      <c r="Q11" s="126"/>
      <c r="R11" s="26"/>
    </row>
    <row r="12" spans="1:18" s="4" customFormat="1" ht="22.5" customHeight="1" x14ac:dyDescent="0.25">
      <c r="B12" s="79">
        <f t="shared" si="0"/>
        <v>7</v>
      </c>
      <c r="C12" s="120" t="s">
        <v>48</v>
      </c>
      <c r="D12" s="121">
        <v>41768</v>
      </c>
      <c r="E12" s="122" t="s">
        <v>10</v>
      </c>
      <c r="F12" s="123" t="s">
        <v>10</v>
      </c>
      <c r="G12" s="124">
        <v>22</v>
      </c>
      <c r="H12" s="131">
        <v>14</v>
      </c>
      <c r="I12" s="132">
        <v>12</v>
      </c>
      <c r="J12" s="87">
        <v>6980.36</v>
      </c>
      <c r="K12" s="88">
        <v>1048</v>
      </c>
      <c r="L12" s="89">
        <f t="shared" si="7"/>
        <v>74.857142857142861</v>
      </c>
      <c r="M12" s="90">
        <f t="shared" si="8"/>
        <v>6.6606488549618321</v>
      </c>
      <c r="N12" s="91">
        <f>96037.16+42293.76+11136.86+17605+22297.3+19062.27+11022+8010+7779.86+6062+4890+6980.36</f>
        <v>253176.56999999998</v>
      </c>
      <c r="O12" s="92">
        <f>9852+4309+1246+1999+2461+2258+1374+975+960+792+668+1048</f>
        <v>27942</v>
      </c>
      <c r="P12" s="93">
        <f t="shared" si="9"/>
        <v>9.0607891346360319</v>
      </c>
      <c r="Q12" s="126"/>
      <c r="R12" s="26"/>
    </row>
    <row r="13" spans="1:18" s="4" customFormat="1" ht="22.5" customHeight="1" x14ac:dyDescent="0.25">
      <c r="B13" s="79">
        <f t="shared" si="0"/>
        <v>8</v>
      </c>
      <c r="C13" s="120" t="s">
        <v>70</v>
      </c>
      <c r="D13" s="121">
        <v>41824</v>
      </c>
      <c r="E13" s="122" t="s">
        <v>10</v>
      </c>
      <c r="F13" s="123" t="s">
        <v>71</v>
      </c>
      <c r="G13" s="124">
        <v>32</v>
      </c>
      <c r="H13" s="131">
        <v>18</v>
      </c>
      <c r="I13" s="132">
        <v>4</v>
      </c>
      <c r="J13" s="87">
        <v>6483.62</v>
      </c>
      <c r="K13" s="88">
        <v>809</v>
      </c>
      <c r="L13" s="89">
        <f t="shared" si="7"/>
        <v>44.944444444444443</v>
      </c>
      <c r="M13" s="90">
        <f t="shared" si="8"/>
        <v>8.0143634116192821</v>
      </c>
      <c r="N13" s="91">
        <f>32706.88+12882.41+6333.12+6483.62</f>
        <v>58406.030000000006</v>
      </c>
      <c r="O13" s="92">
        <f>3102+1318+704+809</f>
        <v>5933</v>
      </c>
      <c r="P13" s="93">
        <f t="shared" si="9"/>
        <v>9.8442659699983164</v>
      </c>
      <c r="Q13" s="126"/>
      <c r="R13" s="26"/>
    </row>
    <row r="14" spans="1:18" s="4" customFormat="1" ht="22.5" customHeight="1" x14ac:dyDescent="0.25">
      <c r="B14" s="79">
        <f t="shared" si="0"/>
        <v>9</v>
      </c>
      <c r="C14" s="120" t="s">
        <v>9</v>
      </c>
      <c r="D14" s="121">
        <v>41684</v>
      </c>
      <c r="E14" s="122" t="s">
        <v>10</v>
      </c>
      <c r="F14" s="123" t="s">
        <v>11</v>
      </c>
      <c r="G14" s="124">
        <v>76</v>
      </c>
      <c r="H14" s="131">
        <v>1</v>
      </c>
      <c r="I14" s="132">
        <v>24</v>
      </c>
      <c r="J14" s="87">
        <v>745</v>
      </c>
      <c r="K14" s="88">
        <v>51</v>
      </c>
      <c r="L14" s="89">
        <f t="shared" si="7"/>
        <v>51</v>
      </c>
      <c r="M14" s="90">
        <f t="shared" si="8"/>
        <v>14.607843137254902</v>
      </c>
      <c r="N14" s="91">
        <f>457084.63+194296.68+44137.17+13030+7400.5+9372.51+21985.7+8798+6823.5+11928.5+9039+10315.86+4561.58+5322+1536+3683.5+5700.5+7282+6570+2758+312+298+393+745</f>
        <v>833373.63</v>
      </c>
      <c r="O14" s="92">
        <f>48529+19857+4845+1742+907+1325+3002+1302+917+1510+1343+1395+656+665+188+409+660+841+730+277+37+74+79+51</f>
        <v>91341</v>
      </c>
      <c r="P14" s="93">
        <f t="shared" si="9"/>
        <v>9.1237629323086011</v>
      </c>
      <c r="Q14" s="126"/>
      <c r="R14" s="26"/>
    </row>
    <row r="15" spans="1:18" s="4" customFormat="1" ht="22.5" customHeight="1" x14ac:dyDescent="0.25">
      <c r="B15" s="79">
        <f t="shared" si="0"/>
        <v>10</v>
      </c>
      <c r="C15" s="120" t="s">
        <v>33</v>
      </c>
      <c r="D15" s="121">
        <v>41726</v>
      </c>
      <c r="E15" s="122" t="s">
        <v>10</v>
      </c>
      <c r="F15" s="123" t="s">
        <v>10</v>
      </c>
      <c r="G15" s="124">
        <v>39</v>
      </c>
      <c r="H15" s="131">
        <v>4</v>
      </c>
      <c r="I15" s="132">
        <v>18</v>
      </c>
      <c r="J15" s="87">
        <v>731</v>
      </c>
      <c r="K15" s="88">
        <v>78</v>
      </c>
      <c r="L15" s="89">
        <f t="shared" si="7"/>
        <v>19.5</v>
      </c>
      <c r="M15" s="90">
        <f t="shared" si="8"/>
        <v>9.3717948717948723</v>
      </c>
      <c r="N15" s="91">
        <f>231174.62+62282.23+5309.5+9347+8300+7582.5+7225.5+4781+2621+6241.6+5123+2544+2933+2417+1413+2523+1985.5+731</f>
        <v>364534.44999999995</v>
      </c>
      <c r="O15" s="92">
        <f>20693+5291+479+930+887+837+776+691+255+784+638+378+427+336+199+316+233+78</f>
        <v>34228</v>
      </c>
      <c r="P15" s="93">
        <f t="shared" si="9"/>
        <v>10.650182599041718</v>
      </c>
      <c r="Q15" s="126"/>
      <c r="R15" s="26"/>
    </row>
    <row r="16" spans="1:18" s="4" customFormat="1" ht="22.5" customHeight="1" x14ac:dyDescent="0.25">
      <c r="B16" s="79">
        <f t="shared" si="0"/>
        <v>11</v>
      </c>
      <c r="C16" s="120" t="s">
        <v>41</v>
      </c>
      <c r="D16" s="121">
        <v>41747</v>
      </c>
      <c r="E16" s="122" t="s">
        <v>10</v>
      </c>
      <c r="F16" s="123" t="s">
        <v>10</v>
      </c>
      <c r="G16" s="124">
        <v>27</v>
      </c>
      <c r="H16" s="131">
        <v>4</v>
      </c>
      <c r="I16" s="132">
        <v>15</v>
      </c>
      <c r="J16" s="87">
        <v>387.5</v>
      </c>
      <c r="K16" s="88">
        <v>51</v>
      </c>
      <c r="L16" s="89">
        <f t="shared" si="7"/>
        <v>12.75</v>
      </c>
      <c r="M16" s="90">
        <f t="shared" si="8"/>
        <v>7.5980392156862742</v>
      </c>
      <c r="N16" s="91">
        <f>186153.66+73200.86+7974.97+3137.5+2235.5+2569.5+1951+3923.5+2028.5+2570+1951+851+280.5+1284+387.5</f>
        <v>290498.99</v>
      </c>
      <c r="O16" s="92">
        <f>17828+6634+897+384+272+355+277+539+259+316+258+106+40+183+51</f>
        <v>28399</v>
      </c>
      <c r="P16" s="93">
        <f t="shared" si="9"/>
        <v>10.229197859079544</v>
      </c>
      <c r="Q16" s="126"/>
      <c r="R16" s="26"/>
    </row>
    <row r="17" spans="2:18" s="4" customFormat="1" ht="22.5" customHeight="1" thickBot="1" x14ac:dyDescent="0.3">
      <c r="B17" s="11">
        <f t="shared" si="0"/>
        <v>12</v>
      </c>
      <c r="C17" s="37" t="s">
        <v>44</v>
      </c>
      <c r="D17" s="38">
        <v>41754</v>
      </c>
      <c r="E17" s="39" t="s">
        <v>10</v>
      </c>
      <c r="F17" s="40" t="s">
        <v>10</v>
      </c>
      <c r="G17" s="41">
        <v>7</v>
      </c>
      <c r="H17" s="16">
        <v>1</v>
      </c>
      <c r="I17" s="17">
        <v>13</v>
      </c>
      <c r="J17" s="104">
        <v>118</v>
      </c>
      <c r="K17" s="66">
        <v>13</v>
      </c>
      <c r="L17" s="102">
        <f t="shared" si="7"/>
        <v>13</v>
      </c>
      <c r="M17" s="103">
        <f t="shared" si="8"/>
        <v>9.0769230769230766</v>
      </c>
      <c r="N17" s="105">
        <f>60197.59+17202+321+844+1811.5+1331+5171+1531.5+1560.1+357+1636+1954.5+118</f>
        <v>94035.19</v>
      </c>
      <c r="O17" s="106">
        <f>5024+1383+28+122+244+160+605+196+299+39+212+255+13</f>
        <v>8580</v>
      </c>
      <c r="P17" s="107">
        <f t="shared" si="9"/>
        <v>10.959812354312355</v>
      </c>
      <c r="Q17" s="126"/>
      <c r="R17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77" t="s">
        <v>14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34" t="s">
        <v>17</v>
      </c>
      <c r="O2" s="181" t="s">
        <v>76</v>
      </c>
      <c r="P2" s="182"/>
    </row>
    <row r="3" spans="1:18" ht="30.75" customHeight="1" thickBot="1" x14ac:dyDescent="0.3"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35" t="s">
        <v>45</v>
      </c>
      <c r="O3" s="183" t="s">
        <v>78</v>
      </c>
      <c r="P3" s="184"/>
    </row>
    <row r="4" spans="1:18" s="4" customFormat="1" ht="16.5" customHeight="1" x14ac:dyDescent="0.25">
      <c r="A4" s="2"/>
      <c r="B4" s="3"/>
      <c r="C4" s="185" t="s">
        <v>0</v>
      </c>
      <c r="D4" s="187" t="s">
        <v>1</v>
      </c>
      <c r="E4" s="189" t="s">
        <v>2</v>
      </c>
      <c r="F4" s="189" t="s">
        <v>3</v>
      </c>
      <c r="G4" s="191" t="s">
        <v>4</v>
      </c>
      <c r="H4" s="191" t="s">
        <v>5</v>
      </c>
      <c r="I4" s="193" t="s">
        <v>13</v>
      </c>
      <c r="J4" s="172" t="s">
        <v>15</v>
      </c>
      <c r="K4" s="173"/>
      <c r="L4" s="173"/>
      <c r="M4" s="174"/>
      <c r="N4" s="172" t="s">
        <v>16</v>
      </c>
      <c r="O4" s="175"/>
      <c r="P4" s="176"/>
    </row>
    <row r="5" spans="1:18" s="4" customFormat="1" ht="15" customHeight="1" thickBot="1" x14ac:dyDescent="0.3">
      <c r="A5" s="2"/>
      <c r="B5" s="36"/>
      <c r="C5" s="186"/>
      <c r="D5" s="188"/>
      <c r="E5" s="190"/>
      <c r="F5" s="190"/>
      <c r="G5" s="192"/>
      <c r="H5" s="192"/>
      <c r="I5" s="194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74</v>
      </c>
      <c r="D6" s="109">
        <v>41831</v>
      </c>
      <c r="E6" s="110" t="s">
        <v>10</v>
      </c>
      <c r="F6" s="111" t="s">
        <v>75</v>
      </c>
      <c r="G6" s="112">
        <v>35</v>
      </c>
      <c r="H6" s="113">
        <v>77</v>
      </c>
      <c r="I6" s="114">
        <v>2</v>
      </c>
      <c r="J6" s="117">
        <v>130339.21</v>
      </c>
      <c r="K6" s="54">
        <v>12650</v>
      </c>
      <c r="L6" s="115">
        <f t="shared" ref="L6:L15" si="0">K6/H6</f>
        <v>164.28571428571428</v>
      </c>
      <c r="M6" s="116">
        <f t="shared" ref="M6:M15" si="1">+J6/K6</f>
        <v>10.303494861660079</v>
      </c>
      <c r="N6" s="78">
        <f>204425.4+130339.21</f>
        <v>334764.61</v>
      </c>
      <c r="O6" s="56">
        <f>19421+12650</f>
        <v>32071</v>
      </c>
      <c r="P6" s="118">
        <f t="shared" ref="P6:P15" si="2">N6/O6</f>
        <v>10.438234230301518</v>
      </c>
      <c r="Q6" s="126"/>
      <c r="R6" s="26"/>
    </row>
    <row r="7" spans="1:18" s="4" customFormat="1" ht="24" customHeight="1" x14ac:dyDescent="0.25">
      <c r="B7" s="79">
        <f t="shared" ref="B7:B16" si="3">B6+1</f>
        <v>2</v>
      </c>
      <c r="C7" s="120" t="s">
        <v>77</v>
      </c>
      <c r="D7" s="121">
        <v>41838</v>
      </c>
      <c r="E7" s="122" t="s">
        <v>10</v>
      </c>
      <c r="F7" s="123" t="s">
        <v>10</v>
      </c>
      <c r="G7" s="124">
        <v>20</v>
      </c>
      <c r="H7" s="85">
        <v>37</v>
      </c>
      <c r="I7" s="86">
        <v>1</v>
      </c>
      <c r="J7" s="87">
        <v>83413.210000000006</v>
      </c>
      <c r="K7" s="88">
        <v>6309</v>
      </c>
      <c r="L7" s="89">
        <f>K7/H7</f>
        <v>170.51351351351352</v>
      </c>
      <c r="M7" s="90">
        <f>+J7/K7</f>
        <v>13.221304485655414</v>
      </c>
      <c r="N7" s="91">
        <f>83413.21</f>
        <v>83413.210000000006</v>
      </c>
      <c r="O7" s="92">
        <f>6309</f>
        <v>6309</v>
      </c>
      <c r="P7" s="93">
        <f>N7/O7</f>
        <v>13.221304485655414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61</v>
      </c>
      <c r="D8" s="121">
        <v>41796</v>
      </c>
      <c r="E8" s="122" t="s">
        <v>10</v>
      </c>
      <c r="F8" s="123" t="s">
        <v>10</v>
      </c>
      <c r="G8" s="124">
        <v>22</v>
      </c>
      <c r="H8" s="131">
        <v>10</v>
      </c>
      <c r="I8" s="132">
        <v>7</v>
      </c>
      <c r="J8" s="87">
        <v>18694.5</v>
      </c>
      <c r="K8" s="88">
        <v>1199</v>
      </c>
      <c r="L8" s="89">
        <f>K8/H8</f>
        <v>119.9</v>
      </c>
      <c r="M8" s="90">
        <f>+J8/K8</f>
        <v>15.591743119266056</v>
      </c>
      <c r="N8" s="91">
        <f>166025.28+97326.52+57686.96+13701.5+11079.5+6936+18694.5</f>
        <v>371450.26</v>
      </c>
      <c r="O8" s="92">
        <f>15114+9515+5786+1430+1181+648+1199</f>
        <v>34873</v>
      </c>
      <c r="P8" s="93">
        <f>N8/O8</f>
        <v>10.651514352077539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36</v>
      </c>
      <c r="D9" s="121">
        <v>41740</v>
      </c>
      <c r="E9" s="122" t="s">
        <v>10</v>
      </c>
      <c r="F9" s="123" t="s">
        <v>10</v>
      </c>
      <c r="G9" s="124">
        <v>26</v>
      </c>
      <c r="H9" s="131">
        <v>10</v>
      </c>
      <c r="I9" s="132">
        <v>15</v>
      </c>
      <c r="J9" s="87">
        <v>7472</v>
      </c>
      <c r="K9" s="88">
        <v>1011</v>
      </c>
      <c r="L9" s="89">
        <f>K9/H9</f>
        <v>101.1</v>
      </c>
      <c r="M9" s="90">
        <f>+J9/K9</f>
        <v>7.390702274975272</v>
      </c>
      <c r="N9" s="91">
        <f>125801.67+108052.78+37084.43+23601.43+21068.8+18394.5+13443.32+12736+17919.5+14888+14213.5+9410.5+7303.5+7446+7472</f>
        <v>438835.93</v>
      </c>
      <c r="O9" s="92">
        <f>12315+10389+3812+2521+2588+2117+1563+1524+2098+1705+1607+1075+924+1045+1011</f>
        <v>46294</v>
      </c>
      <c r="P9" s="93">
        <f>N9/O9</f>
        <v>9.4793262625826245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56</v>
      </c>
      <c r="D10" s="121">
        <v>41782</v>
      </c>
      <c r="E10" s="122" t="s">
        <v>10</v>
      </c>
      <c r="F10" s="123" t="s">
        <v>10</v>
      </c>
      <c r="G10" s="124">
        <v>30</v>
      </c>
      <c r="H10" s="131">
        <v>12</v>
      </c>
      <c r="I10" s="132">
        <v>9</v>
      </c>
      <c r="J10" s="87">
        <v>7152.5</v>
      </c>
      <c r="K10" s="88">
        <v>812</v>
      </c>
      <c r="L10" s="89">
        <f>K10/H10</f>
        <v>67.666666666666671</v>
      </c>
      <c r="M10" s="90">
        <f>+J10/K10</f>
        <v>8.8084975369458132</v>
      </c>
      <c r="N10" s="91">
        <f>95967.35+76227.39+34644.5+27256+29590.5+12797.63+9801.17+8948.5+7152.5</f>
        <v>302385.53999999998</v>
      </c>
      <c r="O10" s="92">
        <f>9552+7384+3615+3071+3349+1439+1120+971+812</f>
        <v>31313</v>
      </c>
      <c r="P10" s="93">
        <f>N10/O10</f>
        <v>9.6568690320314232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70</v>
      </c>
      <c r="D11" s="121">
        <v>41824</v>
      </c>
      <c r="E11" s="122" t="s">
        <v>10</v>
      </c>
      <c r="F11" s="123" t="s">
        <v>71</v>
      </c>
      <c r="G11" s="124">
        <v>32</v>
      </c>
      <c r="H11" s="131">
        <v>17</v>
      </c>
      <c r="I11" s="132">
        <v>3</v>
      </c>
      <c r="J11" s="87">
        <v>6333.12</v>
      </c>
      <c r="K11" s="88">
        <v>704</v>
      </c>
      <c r="L11" s="89">
        <f>K11/H11</f>
        <v>41.411764705882355</v>
      </c>
      <c r="M11" s="90">
        <f>+J11/K11</f>
        <v>8.9959090909090911</v>
      </c>
      <c r="N11" s="91">
        <f>32706.88+12882.41+6333.12</f>
        <v>51922.41</v>
      </c>
      <c r="O11" s="92">
        <f>3102+1318+704</f>
        <v>5124</v>
      </c>
      <c r="P11" s="93">
        <f>N11/O11</f>
        <v>10.133179156908666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48</v>
      </c>
      <c r="D12" s="121">
        <v>41768</v>
      </c>
      <c r="E12" s="122" t="s">
        <v>10</v>
      </c>
      <c r="F12" s="123" t="s">
        <v>10</v>
      </c>
      <c r="G12" s="124">
        <v>22</v>
      </c>
      <c r="H12" s="131">
        <v>15</v>
      </c>
      <c r="I12" s="132">
        <v>11</v>
      </c>
      <c r="J12" s="87">
        <v>4890</v>
      </c>
      <c r="K12" s="88">
        <v>668</v>
      </c>
      <c r="L12" s="89">
        <f t="shared" si="0"/>
        <v>44.533333333333331</v>
      </c>
      <c r="M12" s="90">
        <f t="shared" si="1"/>
        <v>7.3203592814371259</v>
      </c>
      <c r="N12" s="91">
        <f>96037.16+42293.76+11136.86+17605+22297.3+19062.27+11022+8010+7779.86+6062+4890</f>
        <v>246196.21</v>
      </c>
      <c r="O12" s="92">
        <f>9852+4309+1246+1999+2461+2258+1374+975+960+792+668</f>
        <v>26894</v>
      </c>
      <c r="P12" s="93">
        <f t="shared" si="2"/>
        <v>9.1543173198482926</v>
      </c>
      <c r="Q12" s="126"/>
      <c r="R12" s="26"/>
    </row>
    <row r="13" spans="1:18" s="4" customFormat="1" ht="24" customHeight="1" x14ac:dyDescent="0.25">
      <c r="B13" s="79">
        <f t="shared" si="3"/>
        <v>8</v>
      </c>
      <c r="C13" s="120" t="s">
        <v>33</v>
      </c>
      <c r="D13" s="121">
        <v>41726</v>
      </c>
      <c r="E13" s="122" t="s">
        <v>10</v>
      </c>
      <c r="F13" s="123" t="s">
        <v>10</v>
      </c>
      <c r="G13" s="124">
        <v>39</v>
      </c>
      <c r="H13" s="131">
        <v>6</v>
      </c>
      <c r="I13" s="132">
        <v>17</v>
      </c>
      <c r="J13" s="87">
        <v>1985.5</v>
      </c>
      <c r="K13" s="88">
        <v>233</v>
      </c>
      <c r="L13" s="89">
        <f t="shared" si="0"/>
        <v>38.833333333333336</v>
      </c>
      <c r="M13" s="90">
        <f t="shared" si="1"/>
        <v>8.5214592274678118</v>
      </c>
      <c r="N13" s="91">
        <f>231174.62+62282.23+5309.5+9347+8300+7582.5+7225.5+4781+2621+6241.6+5123+2544+2933+2417+1413+2523+1985.5</f>
        <v>363803.44999999995</v>
      </c>
      <c r="O13" s="92">
        <f>20693+5291+479+930+887+837+776+691+255+784+638+378+427+336+199+316+233</f>
        <v>34150</v>
      </c>
      <c r="P13" s="93">
        <f t="shared" si="2"/>
        <v>10.653102489019032</v>
      </c>
      <c r="Q13" s="126"/>
      <c r="R13" s="26"/>
    </row>
    <row r="14" spans="1:18" s="4" customFormat="1" ht="24" customHeight="1" x14ac:dyDescent="0.25">
      <c r="B14" s="79">
        <f t="shared" si="3"/>
        <v>9</v>
      </c>
      <c r="C14" s="120" t="s">
        <v>44</v>
      </c>
      <c r="D14" s="121">
        <v>41754</v>
      </c>
      <c r="E14" s="122" t="s">
        <v>10</v>
      </c>
      <c r="F14" s="123" t="s">
        <v>10</v>
      </c>
      <c r="G14" s="124">
        <v>7</v>
      </c>
      <c r="H14" s="131">
        <v>7</v>
      </c>
      <c r="I14" s="132">
        <v>12</v>
      </c>
      <c r="J14" s="87">
        <v>1954.5</v>
      </c>
      <c r="K14" s="88">
        <v>255</v>
      </c>
      <c r="L14" s="89">
        <f>K14/H14</f>
        <v>36.428571428571431</v>
      </c>
      <c r="M14" s="90">
        <f>+J14/K14</f>
        <v>7.6647058823529415</v>
      </c>
      <c r="N14" s="91">
        <f>60197.59+17202+321+844+1811.5+1331+5171+1531.5+1560.1+357+1636+1954.5</f>
        <v>93917.19</v>
      </c>
      <c r="O14" s="92">
        <f>5024+1383+28+122+244+160+605+196+299+39+212+255</f>
        <v>8567</v>
      </c>
      <c r="P14" s="93">
        <f>N14/O14</f>
        <v>10.962669545932066</v>
      </c>
      <c r="Q14" s="126"/>
      <c r="R14" s="26"/>
    </row>
    <row r="15" spans="1:18" s="4" customFormat="1" ht="24" customHeight="1" x14ac:dyDescent="0.25">
      <c r="B15" s="79">
        <f t="shared" si="3"/>
        <v>10</v>
      </c>
      <c r="C15" s="120" t="s">
        <v>41</v>
      </c>
      <c r="D15" s="121">
        <v>41747</v>
      </c>
      <c r="E15" s="122" t="s">
        <v>10</v>
      </c>
      <c r="F15" s="123" t="s">
        <v>10</v>
      </c>
      <c r="G15" s="124">
        <v>27</v>
      </c>
      <c r="H15" s="131">
        <v>4</v>
      </c>
      <c r="I15" s="132">
        <v>14</v>
      </c>
      <c r="J15" s="87">
        <v>1284</v>
      </c>
      <c r="K15" s="88">
        <v>183</v>
      </c>
      <c r="L15" s="89">
        <f t="shared" si="0"/>
        <v>45.75</v>
      </c>
      <c r="M15" s="90">
        <f t="shared" si="1"/>
        <v>7.0163934426229506</v>
      </c>
      <c r="N15" s="91">
        <f>186153.66+73200.86+7974.97+3137.5+2235.5+2569.5+1951+3923.5+2028.5+2570+1951+851+280.5+1284</f>
        <v>290111.49</v>
      </c>
      <c r="O15" s="92">
        <f>17828+6634+897+384+272+355+277+539+259+316+258+106+40+183</f>
        <v>28348</v>
      </c>
      <c r="P15" s="93">
        <f t="shared" si="2"/>
        <v>10.233931494285311</v>
      </c>
      <c r="Q15" s="126"/>
      <c r="R15" s="26"/>
    </row>
    <row r="16" spans="1:18" s="4" customFormat="1" ht="24" customHeight="1" thickBot="1" x14ac:dyDescent="0.3">
      <c r="B16" s="11">
        <f t="shared" si="3"/>
        <v>11</v>
      </c>
      <c r="C16" s="37" t="s">
        <v>9</v>
      </c>
      <c r="D16" s="38">
        <v>41684</v>
      </c>
      <c r="E16" s="39" t="s">
        <v>10</v>
      </c>
      <c r="F16" s="40" t="s">
        <v>11</v>
      </c>
      <c r="G16" s="41">
        <v>76</v>
      </c>
      <c r="H16" s="16">
        <v>2</v>
      </c>
      <c r="I16" s="17">
        <v>23</v>
      </c>
      <c r="J16" s="104">
        <v>393</v>
      </c>
      <c r="K16" s="66">
        <v>79</v>
      </c>
      <c r="L16" s="102">
        <f>K16/H16</f>
        <v>39.5</v>
      </c>
      <c r="M16" s="103">
        <f>+J16/K16</f>
        <v>4.9746835443037973</v>
      </c>
      <c r="N16" s="105">
        <f>457084.63+194296.68+44137.17+13030+7400.5+9372.51+21985.7+8798+6823.5+11928.5+9039+10315.86+4561.58+5322+1536+3683.5+5700.5+7282+6570+2758+312+298+393</f>
        <v>832628.63</v>
      </c>
      <c r="O16" s="106">
        <f>48529+19857+4845+1742+907+1325+3002+1302+917+1510+1343+1395+656+665+188+409+660+841+730+277+37+74+79</f>
        <v>91290</v>
      </c>
      <c r="P16" s="107">
        <f>N16/O16</f>
        <v>9.1206992003505309</v>
      </c>
      <c r="Q16" s="126"/>
      <c r="R1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M6:M14 M15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77" t="s">
        <v>14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34" t="s">
        <v>17</v>
      </c>
      <c r="O2" s="181" t="s">
        <v>72</v>
      </c>
      <c r="P2" s="182"/>
    </row>
    <row r="3" spans="1:18" ht="30.75" customHeight="1" thickBot="1" x14ac:dyDescent="0.3"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35" t="s">
        <v>45</v>
      </c>
      <c r="O3" s="183" t="s">
        <v>73</v>
      </c>
      <c r="P3" s="184"/>
    </row>
    <row r="4" spans="1:18" s="4" customFormat="1" ht="16.5" customHeight="1" x14ac:dyDescent="0.25">
      <c r="A4" s="2"/>
      <c r="B4" s="3"/>
      <c r="C4" s="185" t="s">
        <v>0</v>
      </c>
      <c r="D4" s="187" t="s">
        <v>1</v>
      </c>
      <c r="E4" s="189" t="s">
        <v>2</v>
      </c>
      <c r="F4" s="189" t="s">
        <v>3</v>
      </c>
      <c r="G4" s="191" t="s">
        <v>4</v>
      </c>
      <c r="H4" s="191" t="s">
        <v>5</v>
      </c>
      <c r="I4" s="193" t="s">
        <v>13</v>
      </c>
      <c r="J4" s="172" t="s">
        <v>15</v>
      </c>
      <c r="K4" s="173"/>
      <c r="L4" s="173"/>
      <c r="M4" s="174"/>
      <c r="N4" s="172" t="s">
        <v>16</v>
      </c>
      <c r="O4" s="175"/>
      <c r="P4" s="176"/>
    </row>
    <row r="5" spans="1:18" s="4" customFormat="1" ht="15" customHeight="1" thickBot="1" x14ac:dyDescent="0.3">
      <c r="A5" s="2"/>
      <c r="B5" s="36"/>
      <c r="C5" s="186"/>
      <c r="D5" s="188"/>
      <c r="E5" s="190"/>
      <c r="F5" s="190"/>
      <c r="G5" s="192"/>
      <c r="H5" s="192"/>
      <c r="I5" s="194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74</v>
      </c>
      <c r="D6" s="109">
        <v>41831</v>
      </c>
      <c r="E6" s="110" t="s">
        <v>10</v>
      </c>
      <c r="F6" s="111" t="s">
        <v>75</v>
      </c>
      <c r="G6" s="112">
        <v>35</v>
      </c>
      <c r="H6" s="113">
        <v>79</v>
      </c>
      <c r="I6" s="114">
        <v>2</v>
      </c>
      <c r="J6" s="117">
        <v>204425.4</v>
      </c>
      <c r="K6" s="54">
        <v>19421</v>
      </c>
      <c r="L6" s="115">
        <f t="shared" ref="L6" si="0">K6/H6</f>
        <v>245.83544303797467</v>
      </c>
      <c r="M6" s="116">
        <f t="shared" ref="M6" si="1">+J6/K6</f>
        <v>10.525997631429895</v>
      </c>
      <c r="N6" s="78">
        <f>204425.4</f>
        <v>204425.4</v>
      </c>
      <c r="O6" s="56">
        <f>19421</f>
        <v>19421</v>
      </c>
      <c r="P6" s="118">
        <f t="shared" ref="P6" si="2">N6/O6</f>
        <v>10.525997631429895</v>
      </c>
      <c r="Q6" s="126"/>
      <c r="R6" s="26"/>
    </row>
    <row r="7" spans="1:18" s="4" customFormat="1" ht="24" customHeight="1" x14ac:dyDescent="0.25">
      <c r="B7" s="79">
        <f t="shared" ref="B7:B15" si="3">B6+1</f>
        <v>2</v>
      </c>
      <c r="C7" s="120" t="s">
        <v>70</v>
      </c>
      <c r="D7" s="121">
        <v>41824</v>
      </c>
      <c r="E7" s="122" t="s">
        <v>10</v>
      </c>
      <c r="F7" s="123" t="s">
        <v>71</v>
      </c>
      <c r="G7" s="124">
        <v>32</v>
      </c>
      <c r="H7" s="131">
        <v>25</v>
      </c>
      <c r="I7" s="132">
        <v>2</v>
      </c>
      <c r="J7" s="87">
        <v>12882.41</v>
      </c>
      <c r="K7" s="88">
        <v>1318</v>
      </c>
      <c r="L7" s="89">
        <f t="shared" ref="L7:L15" si="4">K7/H7</f>
        <v>52.72</v>
      </c>
      <c r="M7" s="90">
        <f t="shared" ref="M7:M15" si="5">+J7/K7</f>
        <v>9.7742109256449172</v>
      </c>
      <c r="N7" s="91">
        <f>32706.88+12882.41</f>
        <v>45589.29</v>
      </c>
      <c r="O7" s="92">
        <f>3102+1318</f>
        <v>4420</v>
      </c>
      <c r="P7" s="93">
        <f t="shared" ref="P7:P15" si="6">N7/O7</f>
        <v>10.314319004524886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56</v>
      </c>
      <c r="D8" s="121">
        <v>41782</v>
      </c>
      <c r="E8" s="122" t="s">
        <v>10</v>
      </c>
      <c r="F8" s="123" t="s">
        <v>10</v>
      </c>
      <c r="G8" s="124">
        <v>30</v>
      </c>
      <c r="H8" s="131">
        <v>13</v>
      </c>
      <c r="I8" s="132">
        <v>8</v>
      </c>
      <c r="J8" s="87">
        <v>8948.5</v>
      </c>
      <c r="K8" s="88">
        <v>971</v>
      </c>
      <c r="L8" s="89">
        <f>K8/H8</f>
        <v>74.692307692307693</v>
      </c>
      <c r="M8" s="90">
        <f>+J8/K8</f>
        <v>9.2157569515962923</v>
      </c>
      <c r="N8" s="91">
        <f>95967.35+76227.39+34644.5+27256+29590.5+12797.63+9801.17+8948.5</f>
        <v>295233.03999999998</v>
      </c>
      <c r="O8" s="92">
        <f>9552+7384+3615+3071+3349+1439+1120+971</f>
        <v>30501</v>
      </c>
      <c r="P8" s="93">
        <f>N8/O8</f>
        <v>9.6794544441165851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36</v>
      </c>
      <c r="D9" s="121">
        <v>41740</v>
      </c>
      <c r="E9" s="122" t="s">
        <v>10</v>
      </c>
      <c r="F9" s="123" t="s">
        <v>10</v>
      </c>
      <c r="G9" s="124">
        <v>26</v>
      </c>
      <c r="H9" s="131">
        <v>11</v>
      </c>
      <c r="I9" s="132">
        <v>14</v>
      </c>
      <c r="J9" s="87">
        <v>7446</v>
      </c>
      <c r="K9" s="88">
        <v>1045</v>
      </c>
      <c r="L9" s="89">
        <f>K9/H9</f>
        <v>95</v>
      </c>
      <c r="M9" s="90">
        <f>+J9/K9</f>
        <v>7.1253588516746413</v>
      </c>
      <c r="N9" s="91">
        <f>125801.67+108052.78+37084.43+23601.43+21068.8+18394.5+13443.32+12736+17919.5+14888+14213.5+9410.5+7303.5+7446</f>
        <v>431363.93</v>
      </c>
      <c r="O9" s="92">
        <f>12315+10389+3812+2521+2588+2117+1563+1524+2098+1705+1607+1075+924+1045</f>
        <v>45283</v>
      </c>
      <c r="P9" s="93">
        <f>N9/O9</f>
        <v>9.5259574233155924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61</v>
      </c>
      <c r="D10" s="121">
        <v>41796</v>
      </c>
      <c r="E10" s="122" t="s">
        <v>10</v>
      </c>
      <c r="F10" s="123" t="s">
        <v>10</v>
      </c>
      <c r="G10" s="124">
        <v>22</v>
      </c>
      <c r="H10" s="131">
        <v>7</v>
      </c>
      <c r="I10" s="132">
        <v>6</v>
      </c>
      <c r="J10" s="87">
        <v>6936</v>
      </c>
      <c r="K10" s="88">
        <v>648</v>
      </c>
      <c r="L10" s="89">
        <f t="shared" si="4"/>
        <v>92.571428571428569</v>
      </c>
      <c r="M10" s="90">
        <f t="shared" si="5"/>
        <v>10.703703703703704</v>
      </c>
      <c r="N10" s="91">
        <f>166025.28+97326.52+57686.96+13701.5+11079.5+6936</f>
        <v>352755.76</v>
      </c>
      <c r="O10" s="92">
        <f>15114+9515+5786+1430+1181+648</f>
        <v>33674</v>
      </c>
      <c r="P10" s="93">
        <f t="shared" si="6"/>
        <v>10.47561204490111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48</v>
      </c>
      <c r="D11" s="121">
        <v>41768</v>
      </c>
      <c r="E11" s="122" t="s">
        <v>10</v>
      </c>
      <c r="F11" s="123" t="s">
        <v>10</v>
      </c>
      <c r="G11" s="124">
        <v>22</v>
      </c>
      <c r="H11" s="131">
        <v>17</v>
      </c>
      <c r="I11" s="132">
        <v>10</v>
      </c>
      <c r="J11" s="87">
        <v>6062</v>
      </c>
      <c r="K11" s="88">
        <v>792</v>
      </c>
      <c r="L11" s="89">
        <f t="shared" si="4"/>
        <v>46.588235294117645</v>
      </c>
      <c r="M11" s="90">
        <f t="shared" si="5"/>
        <v>7.654040404040404</v>
      </c>
      <c r="N11" s="91">
        <f>96037.16+42293.76+11136.86+17605+22297.3+19062.27+11022+8010+7779.86+6062</f>
        <v>241306.21</v>
      </c>
      <c r="O11" s="92">
        <f>9852+4309+1246+1999+2461+2258+1374+975+960+792</f>
        <v>26226</v>
      </c>
      <c r="P11" s="93">
        <f t="shared" si="6"/>
        <v>9.2010298939983226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33</v>
      </c>
      <c r="D12" s="121">
        <v>41726</v>
      </c>
      <c r="E12" s="122" t="s">
        <v>10</v>
      </c>
      <c r="F12" s="123" t="s">
        <v>10</v>
      </c>
      <c r="G12" s="124">
        <v>39</v>
      </c>
      <c r="H12" s="131">
        <v>7</v>
      </c>
      <c r="I12" s="132">
        <v>16</v>
      </c>
      <c r="J12" s="87">
        <v>2523</v>
      </c>
      <c r="K12" s="88">
        <v>316</v>
      </c>
      <c r="L12" s="89">
        <f t="shared" si="4"/>
        <v>45.142857142857146</v>
      </c>
      <c r="M12" s="90">
        <f t="shared" si="5"/>
        <v>7.9841772151898738</v>
      </c>
      <c r="N12" s="91">
        <f>231174.62+62282.23+5309.5+9347+8300+7582.5+7225.5+4781+2621+6241.6+5123+2544+2933+2417+1413+2523</f>
        <v>361817.94999999995</v>
      </c>
      <c r="O12" s="92">
        <f>20693+5291+479+930+887+837+776+691+255+784+638+378+427+336+199+316</f>
        <v>33917</v>
      </c>
      <c r="P12" s="93">
        <f t="shared" si="6"/>
        <v>10.667746262935989</v>
      </c>
      <c r="Q12" s="126"/>
      <c r="R12" s="26"/>
    </row>
    <row r="13" spans="1:18" s="4" customFormat="1" ht="24" customHeight="1" x14ac:dyDescent="0.25">
      <c r="B13" s="79">
        <f t="shared" si="3"/>
        <v>8</v>
      </c>
      <c r="C13" s="120" t="s">
        <v>44</v>
      </c>
      <c r="D13" s="121">
        <v>41754</v>
      </c>
      <c r="E13" s="122" t="s">
        <v>10</v>
      </c>
      <c r="F13" s="123" t="s">
        <v>10</v>
      </c>
      <c r="G13" s="124">
        <v>7</v>
      </c>
      <c r="H13" s="131">
        <v>5</v>
      </c>
      <c r="I13" s="132">
        <v>11</v>
      </c>
      <c r="J13" s="87">
        <v>1636</v>
      </c>
      <c r="K13" s="88">
        <v>212</v>
      </c>
      <c r="L13" s="89">
        <f>K13/H13</f>
        <v>42.4</v>
      </c>
      <c r="M13" s="90">
        <f>+J13/K13</f>
        <v>7.716981132075472</v>
      </c>
      <c r="N13" s="91">
        <f>60197.59+17202+321+844+1811.5+1331+5171+1531.5+1560.1+357+1636</f>
        <v>91962.69</v>
      </c>
      <c r="O13" s="92">
        <f>5024+1383+28+122+244+160+605+196+299+39+212</f>
        <v>8312</v>
      </c>
      <c r="P13" s="93">
        <f>N13/O13</f>
        <v>11.06384624639076</v>
      </c>
      <c r="Q13" s="126"/>
      <c r="R13" s="26"/>
    </row>
    <row r="14" spans="1:18" s="4" customFormat="1" ht="24" customHeight="1" x14ac:dyDescent="0.25">
      <c r="B14" s="79">
        <f t="shared" si="3"/>
        <v>9</v>
      </c>
      <c r="C14" s="120" t="s">
        <v>9</v>
      </c>
      <c r="D14" s="121">
        <v>41684</v>
      </c>
      <c r="E14" s="122" t="s">
        <v>10</v>
      </c>
      <c r="F14" s="123" t="s">
        <v>11</v>
      </c>
      <c r="G14" s="124">
        <v>76</v>
      </c>
      <c r="H14" s="131">
        <v>2</v>
      </c>
      <c r="I14" s="132">
        <v>22</v>
      </c>
      <c r="J14" s="87">
        <v>298</v>
      </c>
      <c r="K14" s="88">
        <v>74</v>
      </c>
      <c r="L14" s="89">
        <f>K14/H14</f>
        <v>37</v>
      </c>
      <c r="M14" s="90">
        <f>+J14/K14</f>
        <v>4.0270270270270272</v>
      </c>
      <c r="N14" s="91">
        <f>457084.63+194296.68+44137.17+13030+7400.5+9372.51+21985.7+8798+6823.5+11928.5+9039+10315.86+4561.58+5322+1536+3683.5+5700.5+7282+6570+2758+312+298</f>
        <v>832235.63</v>
      </c>
      <c r="O14" s="92">
        <f>48529+19857+4845+1742+907+1325+3002+1302+917+1510+1343+1395+656+665+188+409+660+841+730+277+37+74</f>
        <v>91211</v>
      </c>
      <c r="P14" s="93">
        <f>N14/O14</f>
        <v>9.124290162370766</v>
      </c>
      <c r="Q14" s="126"/>
      <c r="R14" s="26"/>
    </row>
    <row r="15" spans="1:18" s="4" customFormat="1" ht="24" customHeight="1" thickBot="1" x14ac:dyDescent="0.3">
      <c r="B15" s="11">
        <f t="shared" si="3"/>
        <v>10</v>
      </c>
      <c r="C15" s="37" t="s">
        <v>41</v>
      </c>
      <c r="D15" s="38">
        <v>41747</v>
      </c>
      <c r="E15" s="39" t="s">
        <v>10</v>
      </c>
      <c r="F15" s="40" t="s">
        <v>10</v>
      </c>
      <c r="G15" s="41">
        <v>27</v>
      </c>
      <c r="H15" s="16">
        <v>3</v>
      </c>
      <c r="I15" s="17">
        <v>13</v>
      </c>
      <c r="J15" s="104">
        <v>280.5</v>
      </c>
      <c r="K15" s="66">
        <v>40</v>
      </c>
      <c r="L15" s="102">
        <f t="shared" si="4"/>
        <v>13.333333333333334</v>
      </c>
      <c r="M15" s="103">
        <f t="shared" si="5"/>
        <v>7.0125000000000002</v>
      </c>
      <c r="N15" s="105">
        <f>186153.66+73200.86+7974.97+3137.5+2235.5+2569.5+1951+3923.5+2028.5+2570+1951+851+280.5</f>
        <v>288827.49</v>
      </c>
      <c r="O15" s="106">
        <f>17828+6634+897+384+272+355+277+539+259+316+258+106+40</f>
        <v>28165</v>
      </c>
      <c r="P15" s="107">
        <f t="shared" si="6"/>
        <v>10.254837209302325</v>
      </c>
      <c r="Q15" s="126"/>
      <c r="R15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77" t="s">
        <v>14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34" t="s">
        <v>17</v>
      </c>
      <c r="O2" s="181" t="s">
        <v>68</v>
      </c>
      <c r="P2" s="182"/>
    </row>
    <row r="3" spans="1:18" ht="30.75" customHeight="1" thickBot="1" x14ac:dyDescent="0.3"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35" t="s">
        <v>45</v>
      </c>
      <c r="O3" s="183" t="s">
        <v>69</v>
      </c>
      <c r="P3" s="184"/>
    </row>
    <row r="4" spans="1:18" s="4" customFormat="1" ht="16.5" customHeight="1" x14ac:dyDescent="0.25">
      <c r="A4" s="2"/>
      <c r="B4" s="3"/>
      <c r="C4" s="185" t="s">
        <v>0</v>
      </c>
      <c r="D4" s="187" t="s">
        <v>1</v>
      </c>
      <c r="E4" s="189" t="s">
        <v>2</v>
      </c>
      <c r="F4" s="189" t="s">
        <v>3</v>
      </c>
      <c r="G4" s="191" t="s">
        <v>4</v>
      </c>
      <c r="H4" s="191" t="s">
        <v>5</v>
      </c>
      <c r="I4" s="193" t="s">
        <v>13</v>
      </c>
      <c r="J4" s="172" t="s">
        <v>15</v>
      </c>
      <c r="K4" s="173"/>
      <c r="L4" s="173"/>
      <c r="M4" s="174"/>
      <c r="N4" s="172" t="s">
        <v>16</v>
      </c>
      <c r="O4" s="175"/>
      <c r="P4" s="176"/>
    </row>
    <row r="5" spans="1:18" s="4" customFormat="1" ht="15" customHeight="1" thickBot="1" x14ac:dyDescent="0.3">
      <c r="A5" s="2"/>
      <c r="B5" s="36"/>
      <c r="C5" s="186"/>
      <c r="D5" s="188"/>
      <c r="E5" s="190"/>
      <c r="F5" s="190"/>
      <c r="G5" s="192"/>
      <c r="H5" s="192"/>
      <c r="I5" s="194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70</v>
      </c>
      <c r="D6" s="109">
        <v>41824</v>
      </c>
      <c r="E6" s="110" t="s">
        <v>10</v>
      </c>
      <c r="F6" s="111" t="s">
        <v>71</v>
      </c>
      <c r="G6" s="112">
        <v>32</v>
      </c>
      <c r="H6" s="113">
        <v>40</v>
      </c>
      <c r="I6" s="114">
        <v>1</v>
      </c>
      <c r="J6" s="117">
        <v>32706.880000000001</v>
      </c>
      <c r="K6" s="54">
        <v>3102</v>
      </c>
      <c r="L6" s="115">
        <f t="shared" ref="L6" si="0">K6/H6</f>
        <v>77.55</v>
      </c>
      <c r="M6" s="116">
        <f t="shared" ref="M6" si="1">+J6/K6</f>
        <v>10.543803997421019</v>
      </c>
      <c r="N6" s="78">
        <f>32706.88</f>
        <v>32706.880000000001</v>
      </c>
      <c r="O6" s="56">
        <f>3102</f>
        <v>3102</v>
      </c>
      <c r="P6" s="118">
        <f t="shared" ref="P6" si="2">N6/O6</f>
        <v>10.543803997421019</v>
      </c>
      <c r="Q6" s="126"/>
      <c r="R6" s="26"/>
    </row>
    <row r="7" spans="1:18" s="4" customFormat="1" ht="24" customHeight="1" x14ac:dyDescent="0.25">
      <c r="B7" s="79">
        <f t="shared" ref="B7:B14" si="3">B6+1</f>
        <v>2</v>
      </c>
      <c r="C7" s="120" t="s">
        <v>61</v>
      </c>
      <c r="D7" s="121">
        <v>41796</v>
      </c>
      <c r="E7" s="122" t="s">
        <v>10</v>
      </c>
      <c r="F7" s="123" t="s">
        <v>10</v>
      </c>
      <c r="G7" s="124">
        <v>22</v>
      </c>
      <c r="H7" s="131">
        <v>11</v>
      </c>
      <c r="I7" s="132">
        <v>5</v>
      </c>
      <c r="J7" s="87">
        <v>11079.5</v>
      </c>
      <c r="K7" s="88">
        <v>1181</v>
      </c>
      <c r="L7" s="89">
        <f t="shared" ref="L7" si="4">K7/H7</f>
        <v>107.36363636363636</v>
      </c>
      <c r="M7" s="90">
        <f t="shared" ref="M7" si="5">+J7/K7</f>
        <v>9.3814563928873831</v>
      </c>
      <c r="N7" s="91">
        <f>166025.28+97326.52+57686.96+13701.5+11079.5</f>
        <v>345819.76</v>
      </c>
      <c r="O7" s="92">
        <f>15114+9515+5786+1430+1181</f>
        <v>33026</v>
      </c>
      <c r="P7" s="93">
        <f t="shared" ref="P7" si="6">N7/O7</f>
        <v>10.471136680191364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56</v>
      </c>
      <c r="D8" s="121">
        <v>41782</v>
      </c>
      <c r="E8" s="122" t="s">
        <v>10</v>
      </c>
      <c r="F8" s="123" t="s">
        <v>10</v>
      </c>
      <c r="G8" s="124">
        <v>30</v>
      </c>
      <c r="H8" s="131">
        <v>13</v>
      </c>
      <c r="I8" s="132">
        <v>7</v>
      </c>
      <c r="J8" s="87">
        <v>9801.17</v>
      </c>
      <c r="K8" s="88">
        <v>1120</v>
      </c>
      <c r="L8" s="89">
        <f t="shared" ref="L8:L14" si="7">K8/H8</f>
        <v>86.15384615384616</v>
      </c>
      <c r="M8" s="90">
        <f t="shared" ref="M8:M14" si="8">+J8/K8</f>
        <v>8.7510446428571438</v>
      </c>
      <c r="N8" s="91">
        <f>95967.35+76227.39+34644.5+27256+29590.5+12797.63+9801.17</f>
        <v>286284.53999999998</v>
      </c>
      <c r="O8" s="92">
        <f>9552+7384+3615+3071+3349+1439+1120</f>
        <v>29530</v>
      </c>
      <c r="P8" s="93">
        <f t="shared" ref="P8:P14" si="9">N8/O8</f>
        <v>9.6947016593294943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48</v>
      </c>
      <c r="D9" s="121">
        <v>41768</v>
      </c>
      <c r="E9" s="122" t="s">
        <v>10</v>
      </c>
      <c r="F9" s="123" t="s">
        <v>10</v>
      </c>
      <c r="G9" s="124">
        <v>22</v>
      </c>
      <c r="H9" s="131">
        <v>16</v>
      </c>
      <c r="I9" s="132">
        <v>9</v>
      </c>
      <c r="J9" s="87">
        <v>7779.86</v>
      </c>
      <c r="K9" s="88">
        <v>960</v>
      </c>
      <c r="L9" s="89">
        <f t="shared" si="7"/>
        <v>60</v>
      </c>
      <c r="M9" s="90">
        <f t="shared" si="8"/>
        <v>8.1040208333333332</v>
      </c>
      <c r="N9" s="91">
        <f>96037.16+42293.76+11136.86+17605+22297.3+19062.27+11022+8010+7779.86</f>
        <v>235244.21</v>
      </c>
      <c r="O9" s="92">
        <f>9852+4309+1246+1999+2461+2258+1374+975+960</f>
        <v>25434</v>
      </c>
      <c r="P9" s="93">
        <f t="shared" si="9"/>
        <v>9.2492022489580865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36</v>
      </c>
      <c r="D10" s="121">
        <v>41740</v>
      </c>
      <c r="E10" s="122" t="s">
        <v>10</v>
      </c>
      <c r="F10" s="123" t="s">
        <v>10</v>
      </c>
      <c r="G10" s="124">
        <v>26</v>
      </c>
      <c r="H10" s="131">
        <v>11</v>
      </c>
      <c r="I10" s="132">
        <v>13</v>
      </c>
      <c r="J10" s="87">
        <v>7303.5</v>
      </c>
      <c r="K10" s="88">
        <v>924</v>
      </c>
      <c r="L10" s="89">
        <f t="shared" si="7"/>
        <v>84</v>
      </c>
      <c r="M10" s="90">
        <f t="shared" si="8"/>
        <v>7.904220779220779</v>
      </c>
      <c r="N10" s="91">
        <f>125801.67+108052.78+37084.43+23601.43+21068.8+18394.5+13443.32+12736+17919.5+14888+14213.5+9410.5+7303.5</f>
        <v>423917.93</v>
      </c>
      <c r="O10" s="92">
        <f>12315+10389+3812+2521+2588+2117+1563+1524+2098+1705+1607+1075+924</f>
        <v>44238</v>
      </c>
      <c r="P10" s="93">
        <f t="shared" si="9"/>
        <v>9.5826649034766493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33</v>
      </c>
      <c r="D11" s="121">
        <v>41726</v>
      </c>
      <c r="E11" s="122" t="s">
        <v>10</v>
      </c>
      <c r="F11" s="123" t="s">
        <v>10</v>
      </c>
      <c r="G11" s="124">
        <v>39</v>
      </c>
      <c r="H11" s="131">
        <v>6</v>
      </c>
      <c r="I11" s="132">
        <v>15</v>
      </c>
      <c r="J11" s="87">
        <v>1413</v>
      </c>
      <c r="K11" s="88">
        <v>199</v>
      </c>
      <c r="L11" s="89">
        <f t="shared" si="7"/>
        <v>33.166666666666664</v>
      </c>
      <c r="M11" s="90">
        <f t="shared" si="8"/>
        <v>7.1005025125628141</v>
      </c>
      <c r="N11" s="91">
        <f>231174.62+62282.23+5309.5+9347+8300+7582.5+7225.5+4781+2621+6241.6+5123+2544+2933+2417+1413</f>
        <v>359294.94999999995</v>
      </c>
      <c r="O11" s="92">
        <f>20693+5291+479+930+887+837+776+691+255+784+638+378+427+336+199</f>
        <v>33601</v>
      </c>
      <c r="P11" s="93">
        <f t="shared" si="9"/>
        <v>10.692983839766672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41</v>
      </c>
      <c r="D12" s="121">
        <v>41747</v>
      </c>
      <c r="E12" s="122" t="s">
        <v>10</v>
      </c>
      <c r="F12" s="123" t="s">
        <v>10</v>
      </c>
      <c r="G12" s="124">
        <v>27</v>
      </c>
      <c r="H12" s="131">
        <v>5</v>
      </c>
      <c r="I12" s="132">
        <v>12</v>
      </c>
      <c r="J12" s="87">
        <v>851</v>
      </c>
      <c r="K12" s="88">
        <v>106</v>
      </c>
      <c r="L12" s="89">
        <f t="shared" si="7"/>
        <v>21.2</v>
      </c>
      <c r="M12" s="90">
        <f t="shared" si="8"/>
        <v>8.0283018867924536</v>
      </c>
      <c r="N12" s="91">
        <f>186153.66+73200.86+7974.97+3137.5+2235.5+2569.5+1951+3923.5+2028.5+2570+1951+851</f>
        <v>288546.99</v>
      </c>
      <c r="O12" s="92">
        <f>17828+6634+897+384+272+355+277+539+259+316+258+106</f>
        <v>28125</v>
      </c>
      <c r="P12" s="93">
        <f t="shared" si="9"/>
        <v>10.259448533333334</v>
      </c>
      <c r="Q12" s="126"/>
      <c r="R12" s="26"/>
    </row>
    <row r="13" spans="1:18" s="4" customFormat="1" ht="24" customHeight="1" x14ac:dyDescent="0.25">
      <c r="B13" s="79">
        <f t="shared" si="3"/>
        <v>8</v>
      </c>
      <c r="C13" s="120" t="s">
        <v>44</v>
      </c>
      <c r="D13" s="121">
        <v>41754</v>
      </c>
      <c r="E13" s="122" t="s">
        <v>10</v>
      </c>
      <c r="F13" s="123" t="s">
        <v>10</v>
      </c>
      <c r="G13" s="124">
        <v>7</v>
      </c>
      <c r="H13" s="131">
        <v>2</v>
      </c>
      <c r="I13" s="132">
        <v>10</v>
      </c>
      <c r="J13" s="87">
        <v>357</v>
      </c>
      <c r="K13" s="88">
        <v>39</v>
      </c>
      <c r="L13" s="89">
        <f t="shared" si="7"/>
        <v>19.5</v>
      </c>
      <c r="M13" s="90">
        <f t="shared" si="8"/>
        <v>9.1538461538461533</v>
      </c>
      <c r="N13" s="91">
        <f>60197.59+17202+321+844+1811.5+1331+5171+1531.5+1560.1+357</f>
        <v>90326.69</v>
      </c>
      <c r="O13" s="92">
        <f>5024+1383+28+122+244+160+605+196+299+39</f>
        <v>8100</v>
      </c>
      <c r="P13" s="93">
        <f t="shared" si="9"/>
        <v>11.151443209876543</v>
      </c>
      <c r="Q13" s="126"/>
      <c r="R13" s="26"/>
    </row>
    <row r="14" spans="1:18" s="4" customFormat="1" ht="24" customHeight="1" thickBot="1" x14ac:dyDescent="0.3">
      <c r="B14" s="11">
        <f t="shared" si="3"/>
        <v>9</v>
      </c>
      <c r="C14" s="37" t="s">
        <v>9</v>
      </c>
      <c r="D14" s="38">
        <v>41684</v>
      </c>
      <c r="E14" s="39" t="s">
        <v>10</v>
      </c>
      <c r="F14" s="40" t="s">
        <v>11</v>
      </c>
      <c r="G14" s="41">
        <v>76</v>
      </c>
      <c r="H14" s="16">
        <v>2</v>
      </c>
      <c r="I14" s="17">
        <v>21</v>
      </c>
      <c r="J14" s="104">
        <v>312</v>
      </c>
      <c r="K14" s="66">
        <v>37</v>
      </c>
      <c r="L14" s="102">
        <f t="shared" si="7"/>
        <v>18.5</v>
      </c>
      <c r="M14" s="103">
        <f t="shared" si="8"/>
        <v>8.4324324324324316</v>
      </c>
      <c r="N14" s="105">
        <f>457084.63+194296.68+44137.17+13030+7400.5+9372.51+21985.7+8798+6823.5+11928.5+9039+10315.86+4561.58+5322+1536+3683.5+5700.5+7282+6570+2758+312</f>
        <v>831937.63</v>
      </c>
      <c r="O14" s="106">
        <f>48529+19857+4845+1742+907+1325+3002+1302+917+1510+1343+1395+656+665+188+409+660+841+730+277+37</f>
        <v>91137</v>
      </c>
      <c r="P14" s="107">
        <f t="shared" si="9"/>
        <v>9.1284289586007876</v>
      </c>
      <c r="Q14" s="126"/>
      <c r="R14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4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77" t="s">
        <v>14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34" t="s">
        <v>17</v>
      </c>
      <c r="O2" s="181" t="s">
        <v>66</v>
      </c>
      <c r="P2" s="182"/>
    </row>
    <row r="3" spans="1:18" ht="30.75" customHeight="1" thickBot="1" x14ac:dyDescent="0.3"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35" t="s">
        <v>45</v>
      </c>
      <c r="O3" s="183" t="s">
        <v>67</v>
      </c>
      <c r="P3" s="184"/>
    </row>
    <row r="4" spans="1:18" s="4" customFormat="1" ht="16.5" customHeight="1" x14ac:dyDescent="0.25">
      <c r="A4" s="2"/>
      <c r="B4" s="3"/>
      <c r="C4" s="185" t="s">
        <v>0</v>
      </c>
      <c r="D4" s="187" t="s">
        <v>1</v>
      </c>
      <c r="E4" s="189" t="s">
        <v>2</v>
      </c>
      <c r="F4" s="189" t="s">
        <v>3</v>
      </c>
      <c r="G4" s="191" t="s">
        <v>4</v>
      </c>
      <c r="H4" s="191" t="s">
        <v>5</v>
      </c>
      <c r="I4" s="193" t="s">
        <v>13</v>
      </c>
      <c r="J4" s="172" t="s">
        <v>15</v>
      </c>
      <c r="K4" s="173"/>
      <c r="L4" s="173"/>
      <c r="M4" s="174"/>
      <c r="N4" s="172" t="s">
        <v>16</v>
      </c>
      <c r="O4" s="175"/>
      <c r="P4" s="176"/>
    </row>
    <row r="5" spans="1:18" s="4" customFormat="1" ht="12.75" thickBot="1" x14ac:dyDescent="0.3">
      <c r="A5" s="2"/>
      <c r="B5" s="36"/>
      <c r="C5" s="186"/>
      <c r="D5" s="188"/>
      <c r="E5" s="190"/>
      <c r="F5" s="190"/>
      <c r="G5" s="192"/>
      <c r="H5" s="192"/>
      <c r="I5" s="194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61</v>
      </c>
      <c r="D6" s="109">
        <v>41796</v>
      </c>
      <c r="E6" s="110" t="s">
        <v>10</v>
      </c>
      <c r="F6" s="111" t="s">
        <v>10</v>
      </c>
      <c r="G6" s="112">
        <v>22</v>
      </c>
      <c r="H6" s="113">
        <v>8</v>
      </c>
      <c r="I6" s="114">
        <v>4</v>
      </c>
      <c r="J6" s="117">
        <v>13701.5</v>
      </c>
      <c r="K6" s="54">
        <v>1430</v>
      </c>
      <c r="L6" s="115">
        <f t="shared" ref="L6:L10" si="0">K6/H6</f>
        <v>178.75</v>
      </c>
      <c r="M6" s="116">
        <f t="shared" ref="M6:M10" si="1">+J6/K6</f>
        <v>9.5814685314685306</v>
      </c>
      <c r="N6" s="94">
        <f>166025.28+97326.52+57686.96+13701.5</f>
        <v>334740.26</v>
      </c>
      <c r="O6" s="56">
        <f>15114+9515+5786+1430</f>
        <v>31845</v>
      </c>
      <c r="P6" s="118">
        <f t="shared" ref="P6:P10" si="2">N6/O6</f>
        <v>10.511548437745329</v>
      </c>
      <c r="Q6" s="126"/>
      <c r="R6" s="26"/>
    </row>
    <row r="7" spans="1:18" s="4" customFormat="1" ht="24" customHeight="1" x14ac:dyDescent="0.25">
      <c r="B7" s="79">
        <f t="shared" ref="B7:B13" si="3">B6+1</f>
        <v>2</v>
      </c>
      <c r="C7" s="120" t="s">
        <v>56</v>
      </c>
      <c r="D7" s="121">
        <v>41782</v>
      </c>
      <c r="E7" s="122" t="s">
        <v>10</v>
      </c>
      <c r="F7" s="123" t="s">
        <v>10</v>
      </c>
      <c r="G7" s="124">
        <v>30</v>
      </c>
      <c r="H7" s="131">
        <v>14</v>
      </c>
      <c r="I7" s="132">
        <v>6</v>
      </c>
      <c r="J7" s="87">
        <v>12797.63</v>
      </c>
      <c r="K7" s="88">
        <v>1439</v>
      </c>
      <c r="L7" s="89">
        <f>K7/H7</f>
        <v>102.78571428571429</v>
      </c>
      <c r="M7" s="90">
        <f>+J7/K7</f>
        <v>8.8934190410006941</v>
      </c>
      <c r="N7" s="91">
        <f>95967.35+76227.39+34644.5+27256+29590.5+12797.63</f>
        <v>276483.37</v>
      </c>
      <c r="O7" s="92">
        <f>9552+7384+3615+3071+3349+1439</f>
        <v>28410</v>
      </c>
      <c r="P7" s="93">
        <f>N7/O7</f>
        <v>9.7319032030975006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36</v>
      </c>
      <c r="D8" s="121">
        <v>41740</v>
      </c>
      <c r="E8" s="122" t="s">
        <v>10</v>
      </c>
      <c r="F8" s="123" t="s">
        <v>10</v>
      </c>
      <c r="G8" s="124">
        <v>26</v>
      </c>
      <c r="H8" s="131">
        <v>12</v>
      </c>
      <c r="I8" s="132">
        <v>12</v>
      </c>
      <c r="J8" s="87">
        <v>9410.5</v>
      </c>
      <c r="K8" s="88">
        <v>1075</v>
      </c>
      <c r="L8" s="89">
        <f>K8/H8</f>
        <v>89.583333333333329</v>
      </c>
      <c r="M8" s="90">
        <f>+J8/K8</f>
        <v>8.7539534883720922</v>
      </c>
      <c r="N8" s="91">
        <f>125801.67+108052.78+37084.43+23601.43+21068.8+18394.5+13443.32+12736+17919.5+14888+14213.5+9410.5</f>
        <v>416614.43</v>
      </c>
      <c r="O8" s="92">
        <f>12315+10389+3812+2521+2588+2117+1563+1524+2098+1705+1607+1075</f>
        <v>43314</v>
      </c>
      <c r="P8" s="93">
        <f>N8/O8</f>
        <v>9.6184704714411051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48</v>
      </c>
      <c r="D9" s="121">
        <v>41768</v>
      </c>
      <c r="E9" s="122" t="s">
        <v>10</v>
      </c>
      <c r="F9" s="123" t="s">
        <v>10</v>
      </c>
      <c r="G9" s="124">
        <v>22</v>
      </c>
      <c r="H9" s="131">
        <v>17</v>
      </c>
      <c r="I9" s="132">
        <v>8</v>
      </c>
      <c r="J9" s="87">
        <v>8010</v>
      </c>
      <c r="K9" s="88">
        <v>975</v>
      </c>
      <c r="L9" s="89">
        <f t="shared" si="0"/>
        <v>57.352941176470587</v>
      </c>
      <c r="M9" s="90">
        <f t="shared" si="1"/>
        <v>8.2153846153846146</v>
      </c>
      <c r="N9" s="91">
        <f>96037.16+42293.76+11136.86+17605+22297.3+19062.27+11022+8010</f>
        <v>227464.35</v>
      </c>
      <c r="O9" s="92">
        <f>9852+4309+1246+1999+2461+2258+1374+975</f>
        <v>24474</v>
      </c>
      <c r="P9" s="93">
        <f t="shared" si="2"/>
        <v>9.2941223339053689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9</v>
      </c>
      <c r="D10" s="121">
        <v>41684</v>
      </c>
      <c r="E10" s="122" t="s">
        <v>10</v>
      </c>
      <c r="F10" s="123" t="s">
        <v>11</v>
      </c>
      <c r="G10" s="124">
        <v>76</v>
      </c>
      <c r="H10" s="131">
        <v>7</v>
      </c>
      <c r="I10" s="132">
        <v>20</v>
      </c>
      <c r="J10" s="87">
        <v>2758</v>
      </c>
      <c r="K10" s="88">
        <v>277</v>
      </c>
      <c r="L10" s="89">
        <f t="shared" si="0"/>
        <v>39.571428571428569</v>
      </c>
      <c r="M10" s="90">
        <f t="shared" si="1"/>
        <v>9.9566787003610102</v>
      </c>
      <c r="N10" s="91">
        <f>457084.63+194296.68+44137.17+13030+7400.5+9372.51+21985.7+8798+6823.5+11928.5+9039+10315.86+4561.58+5322+1536+3683.5+5700.5+7282+6570+2758</f>
        <v>831625.63</v>
      </c>
      <c r="O10" s="92">
        <f>48529+19857+4845+1742+907+1325+3002+1302+917+1510+1343+1395+656+665+188+409+660+841+730+277</f>
        <v>91100</v>
      </c>
      <c r="P10" s="93">
        <f t="shared" si="2"/>
        <v>9.1287116355653133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33</v>
      </c>
      <c r="D11" s="121">
        <v>41726</v>
      </c>
      <c r="E11" s="122" t="s">
        <v>10</v>
      </c>
      <c r="F11" s="123" t="s">
        <v>10</v>
      </c>
      <c r="G11" s="124">
        <v>39</v>
      </c>
      <c r="H11" s="131">
        <v>10</v>
      </c>
      <c r="I11" s="132">
        <v>14</v>
      </c>
      <c r="J11" s="133">
        <v>2417</v>
      </c>
      <c r="K11" s="134">
        <v>336</v>
      </c>
      <c r="L11" s="89">
        <f>K11/H11</f>
        <v>33.6</v>
      </c>
      <c r="M11" s="90">
        <f>+J11/K11</f>
        <v>7.1934523809523814</v>
      </c>
      <c r="N11" s="135">
        <f>231174.62+62282.23+5309.5+9347+8300+7582.5+7225.5+4781+2621+6241.6+5123+2544+2933+2417</f>
        <v>357881.94999999995</v>
      </c>
      <c r="O11" s="136">
        <f>20693+5291+479+930+887+837+776+691+255+784+638+378+427+336</f>
        <v>33402</v>
      </c>
      <c r="P11" s="93">
        <f>N11/O11</f>
        <v>10.71438686306209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41</v>
      </c>
      <c r="D12" s="121">
        <v>41747</v>
      </c>
      <c r="E12" s="122" t="s">
        <v>10</v>
      </c>
      <c r="F12" s="123" t="s">
        <v>10</v>
      </c>
      <c r="G12" s="124">
        <v>27</v>
      </c>
      <c r="H12" s="131">
        <v>6</v>
      </c>
      <c r="I12" s="132">
        <v>11</v>
      </c>
      <c r="J12" s="87">
        <v>1951</v>
      </c>
      <c r="K12" s="88">
        <v>258</v>
      </c>
      <c r="L12" s="89">
        <f>K12/H12</f>
        <v>43</v>
      </c>
      <c r="M12" s="90">
        <f>+J12/K12</f>
        <v>7.5620155038759691</v>
      </c>
      <c r="N12" s="91">
        <f>186153.66+73200.86+7974.97+3137.5+2235.5+2569.5+1951+3923.5+2028.5+2570+1951</f>
        <v>287695.99</v>
      </c>
      <c r="O12" s="92">
        <f>17828+6634+897+384+272+355+277+539+259+316+258</f>
        <v>28019</v>
      </c>
      <c r="P12" s="93">
        <f>N12/O12</f>
        <v>10.267889289410757</v>
      </c>
      <c r="Q12" s="126"/>
      <c r="R12" s="26"/>
    </row>
    <row r="13" spans="1:18" s="4" customFormat="1" ht="24" customHeight="1" thickBot="1" x14ac:dyDescent="0.3">
      <c r="B13" s="11">
        <f t="shared" si="3"/>
        <v>8</v>
      </c>
      <c r="C13" s="37" t="s">
        <v>44</v>
      </c>
      <c r="D13" s="38">
        <v>41754</v>
      </c>
      <c r="E13" s="39" t="s">
        <v>10</v>
      </c>
      <c r="F13" s="40" t="s">
        <v>10</v>
      </c>
      <c r="G13" s="41">
        <v>7</v>
      </c>
      <c r="H13" s="16">
        <v>2</v>
      </c>
      <c r="I13" s="17">
        <v>9</v>
      </c>
      <c r="J13" s="104">
        <v>1560.1</v>
      </c>
      <c r="K13" s="66">
        <v>299</v>
      </c>
      <c r="L13" s="102">
        <f>K13/H13</f>
        <v>149.5</v>
      </c>
      <c r="M13" s="103">
        <f>+J13/K13</f>
        <v>5.2177257525083611</v>
      </c>
      <c r="N13" s="105">
        <f>60197.59+17202+321+844+1811.5+1331+5171+1531.5+1560.1</f>
        <v>89969.69</v>
      </c>
      <c r="O13" s="106">
        <f>5024+1383+28+122+244+160+605+196+299</f>
        <v>8061</v>
      </c>
      <c r="P13" s="107">
        <f>N13/O13</f>
        <v>11.161107803002109</v>
      </c>
      <c r="Q13" s="126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1 O12:O1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28</vt:i4>
      </vt:variant>
    </vt:vector>
  </HeadingPairs>
  <TitlesOfParts>
    <vt:vector size="28" baseType="lpstr">
      <vt:lpstr>2014_34_22-28.08</vt:lpstr>
      <vt:lpstr>2014_33_15-21.08</vt:lpstr>
      <vt:lpstr>2014_32_08-14.08</vt:lpstr>
      <vt:lpstr>2014_31_01-07.08</vt:lpstr>
      <vt:lpstr>2014_30_25-31.07</vt:lpstr>
      <vt:lpstr>2014_29_18-24.07</vt:lpstr>
      <vt:lpstr>2014_28_11-17.07</vt:lpstr>
      <vt:lpstr>2014_27_04-10.07</vt:lpstr>
      <vt:lpstr>2014_26_27.06-03.07</vt:lpstr>
      <vt:lpstr>2014_25_20-26.06</vt:lpstr>
      <vt:lpstr>2014_24_13-19.06</vt:lpstr>
      <vt:lpstr>2014_23_06-12.06</vt:lpstr>
      <vt:lpstr>2014_22_30.05-05.06</vt:lpstr>
      <vt:lpstr>2014_21_23-29.05</vt:lpstr>
      <vt:lpstr>2014_20_16-22.05</vt:lpstr>
      <vt:lpstr>2014_19_09-15.05</vt:lpstr>
      <vt:lpstr>2014_18_02-08.05</vt:lpstr>
      <vt:lpstr>2014_17_25.04-01.05</vt:lpstr>
      <vt:lpstr>2014_16_18-24.04</vt:lpstr>
      <vt:lpstr>2014_15_11-17.04</vt:lpstr>
      <vt:lpstr>2014_14_04-10.04</vt:lpstr>
      <vt:lpstr>2014_13_28.03-03.04</vt:lpstr>
      <vt:lpstr>2014_12_21-27.03</vt:lpstr>
      <vt:lpstr>2014_11_14-20.03</vt:lpstr>
      <vt:lpstr>2014_10_07-13.03</vt:lpstr>
      <vt:lpstr>2014_9_28.02-06.03</vt:lpstr>
      <vt:lpstr>2014_8_21-27.02</vt:lpstr>
      <vt:lpstr>2014_7_14-20.02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cp:lastPrinted>2014-07-11T11:55:03Z</cp:lastPrinted>
  <dcterms:created xsi:type="dcterms:W3CDTF">2014-02-17T12:24:16Z</dcterms:created>
  <dcterms:modified xsi:type="dcterms:W3CDTF">2014-08-29T13:06:45Z</dcterms:modified>
</cp:coreProperties>
</file>