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635"/>
  </bookViews>
  <sheets>
    <sheet name="2015_20_15-21.05" sheetId="65" r:id="rId1"/>
    <sheet name="2015_19_08-14.05" sheetId="64" r:id="rId2"/>
    <sheet name="2015_18_01-07.05" sheetId="63" r:id="rId3"/>
    <sheet name="2015_17_24-30.04" sheetId="62" r:id="rId4"/>
    <sheet name="2015_16_17-23.04" sheetId="61" r:id="rId5"/>
    <sheet name="2015_15_10-16.04" sheetId="60" r:id="rId6"/>
    <sheet name="2015_14_03-09.04" sheetId="59" r:id="rId7"/>
    <sheet name="2015_13_27.03-02.04" sheetId="58" r:id="rId8"/>
    <sheet name="2015_12_20-26.03" sheetId="56" r:id="rId9"/>
    <sheet name="2015_11_13-19.03" sheetId="57" r:id="rId10"/>
    <sheet name="2015_10_06-12.03" sheetId="55" r:id="rId11"/>
    <sheet name="2015_09_27.02-05.03" sheetId="54" r:id="rId12"/>
    <sheet name="2015_08_20-26.02" sheetId="53" r:id="rId13"/>
    <sheet name="2015_07_13-19.02" sheetId="52" r:id="rId14"/>
    <sheet name="2015_06_06-12.02" sheetId="51" r:id="rId15"/>
    <sheet name="2015_05_30.01-05.02" sheetId="50" r:id="rId16"/>
    <sheet name="2015_04_23-29.01" sheetId="49" r:id="rId17"/>
    <sheet name="2015_03_16-22.01" sheetId="48" r:id="rId18"/>
    <sheet name="2015_02_09-15.01" sheetId="47" r:id="rId19"/>
    <sheet name="2015_01_02-08.01" sheetId="46" r:id="rId20"/>
  </sheets>
  <definedNames>
    <definedName name="_xlnm._FilterDatabase" localSheetId="10" hidden="1">'2015_10_06-12.03'!$J$5:$M$5</definedName>
    <definedName name="_xlnm._FilterDatabase" localSheetId="9" hidden="1">'2015_11_13-19.03'!$J$5:$M$5</definedName>
    <definedName name="_xlnm._FilterDatabase" localSheetId="8" hidden="1">'2015_12_20-26.03'!$J$5:$M$5</definedName>
    <definedName name="_xlnm._FilterDatabase" localSheetId="7" hidden="1">'2015_13_27.03-02.04'!$J$5:$M$5</definedName>
    <definedName name="_xlnm._FilterDatabase" localSheetId="6" hidden="1">'2015_14_03-09.04'!$J$5:$M$5</definedName>
    <definedName name="_xlnm._FilterDatabase" localSheetId="5" hidden="1">'2015_15_10-16.04'!$J$5:$M$5</definedName>
    <definedName name="_xlnm._FilterDatabase" localSheetId="4" hidden="1">'2015_16_17-23.04'!$J$5:$M$5</definedName>
    <definedName name="_xlnm._FilterDatabase" localSheetId="3" hidden="1">'2015_17_24-30.04'!$J$5:$M$5</definedName>
    <definedName name="_xlnm._FilterDatabase" localSheetId="2" hidden="1">'2015_18_01-07.05'!$J$5:$M$5</definedName>
    <definedName name="_xlnm._FilterDatabase" localSheetId="1" hidden="1">'2015_19_08-14.05'!$J$5:$M$5</definedName>
    <definedName name="_xlnm._FilterDatabase" localSheetId="0" hidden="1">'2015_20_15-21.05'!$J$5:$M$5</definedName>
  </definedNames>
  <calcPr calcId="145621"/>
</workbook>
</file>

<file path=xl/calcChain.xml><?xml version="1.0" encoding="utf-8"?>
<calcChain xmlns="http://schemas.openxmlformats.org/spreadsheetml/2006/main">
  <c r="O11" i="65" l="1"/>
  <c r="N11" i="65"/>
  <c r="B8" i="65"/>
  <c r="B9" i="65" s="1"/>
  <c r="B10" i="65" s="1"/>
  <c r="B11" i="65" s="1"/>
  <c r="B12" i="65" s="1"/>
  <c r="B13" i="65" s="1"/>
  <c r="B14" i="65" s="1"/>
  <c r="B15" i="65" s="1"/>
  <c r="B7" i="65"/>
  <c r="B6" i="65"/>
  <c r="M11" i="65"/>
  <c r="L11" i="65"/>
  <c r="O15" i="65"/>
  <c r="N15" i="65"/>
  <c r="O9" i="65"/>
  <c r="N9" i="65"/>
  <c r="O6" i="65"/>
  <c r="N6" i="65"/>
  <c r="O7" i="65"/>
  <c r="N7" i="65"/>
  <c r="O12" i="65"/>
  <c r="N12" i="65"/>
  <c r="O14" i="65"/>
  <c r="N14" i="65"/>
  <c r="O13" i="65"/>
  <c r="N13" i="65"/>
  <c r="O8" i="65"/>
  <c r="N8" i="65"/>
  <c r="O10" i="65"/>
  <c r="N10" i="65"/>
  <c r="P11" i="65" l="1"/>
  <c r="P6" i="65"/>
  <c r="M6" i="65"/>
  <c r="L6" i="65"/>
  <c r="P15" i="65"/>
  <c r="M15" i="65"/>
  <c r="L15" i="65"/>
  <c r="P10" i="65"/>
  <c r="M10" i="65"/>
  <c r="L10" i="65"/>
  <c r="P14" i="65"/>
  <c r="M14" i="65"/>
  <c r="L14" i="65"/>
  <c r="M13" i="65"/>
  <c r="L13" i="65"/>
  <c r="P8" i="65"/>
  <c r="M8" i="65"/>
  <c r="L8" i="65"/>
  <c r="P9" i="65"/>
  <c r="M9" i="65"/>
  <c r="L9" i="65"/>
  <c r="P12" i="65"/>
  <c r="M12" i="65"/>
  <c r="L12" i="65"/>
  <c r="M7" i="65"/>
  <c r="L7" i="65"/>
  <c r="P7" i="65" l="1"/>
  <c r="P13" i="65"/>
  <c r="B8" i="64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B7" i="64"/>
  <c r="O19" i="64"/>
  <c r="P19" i="64" s="1"/>
  <c r="N19" i="64"/>
  <c r="M19" i="64"/>
  <c r="L19" i="64"/>
  <c r="P18" i="64"/>
  <c r="O18" i="64"/>
  <c r="N18" i="64"/>
  <c r="M18" i="64"/>
  <c r="L18" i="64"/>
  <c r="O17" i="64"/>
  <c r="N17" i="64"/>
  <c r="P17" i="64" s="1"/>
  <c r="M17" i="64"/>
  <c r="L17" i="64"/>
  <c r="O16" i="64"/>
  <c r="N16" i="64"/>
  <c r="P16" i="64" s="1"/>
  <c r="M16" i="64"/>
  <c r="L16" i="64"/>
  <c r="O15" i="64"/>
  <c r="N15" i="64"/>
  <c r="M15" i="64"/>
  <c r="L15" i="64"/>
  <c r="O14" i="64"/>
  <c r="N14" i="64"/>
  <c r="P14" i="64" s="1"/>
  <c r="M14" i="64"/>
  <c r="L14" i="64"/>
  <c r="O13" i="64"/>
  <c r="N13" i="64"/>
  <c r="P13" i="64" s="1"/>
  <c r="M13" i="64"/>
  <c r="L13" i="64"/>
  <c r="O12" i="64"/>
  <c r="N12" i="64"/>
  <c r="P12" i="64" s="1"/>
  <c r="M12" i="64"/>
  <c r="L12" i="64"/>
  <c r="O11" i="64"/>
  <c r="N11" i="64"/>
  <c r="M11" i="64"/>
  <c r="L11" i="64"/>
  <c r="O10" i="64"/>
  <c r="N10" i="64"/>
  <c r="P10" i="64" s="1"/>
  <c r="M10" i="64"/>
  <c r="L10" i="64"/>
  <c r="O9" i="64"/>
  <c r="N9" i="64"/>
  <c r="M9" i="64"/>
  <c r="L9" i="64"/>
  <c r="O8" i="64"/>
  <c r="N8" i="64"/>
  <c r="M8" i="64"/>
  <c r="L8" i="64"/>
  <c r="O7" i="64"/>
  <c r="P7" i="64" s="1"/>
  <c r="N7" i="64"/>
  <c r="M7" i="64"/>
  <c r="L7" i="64"/>
  <c r="P6" i="64"/>
  <c r="O6" i="64"/>
  <c r="N6" i="64"/>
  <c r="M6" i="64"/>
  <c r="L6" i="64"/>
  <c r="P11" i="64" l="1"/>
  <c r="P15" i="64"/>
  <c r="P8" i="64"/>
  <c r="P9" i="64"/>
  <c r="B6" i="64" l="1"/>
  <c r="O10" i="63" l="1"/>
  <c r="N10" i="63"/>
  <c r="B6" i="63" l="1"/>
  <c r="B7" i="63" s="1"/>
  <c r="B8" i="63" s="1"/>
  <c r="B9" i="63" s="1"/>
  <c r="B10" i="63" s="1"/>
  <c r="B11" i="63" s="1"/>
  <c r="B12" i="63" s="1"/>
  <c r="B13" i="63" s="1"/>
  <c r="B14" i="63" s="1"/>
  <c r="O13" i="63"/>
  <c r="N13" i="63"/>
  <c r="M13" i="63"/>
  <c r="L13" i="63"/>
  <c r="O6" i="63"/>
  <c r="N6" i="63"/>
  <c r="P13" i="63" l="1"/>
  <c r="P6" i="63"/>
  <c r="M6" i="63"/>
  <c r="L6" i="63"/>
  <c r="O7" i="63"/>
  <c r="N7" i="63"/>
  <c r="O12" i="63"/>
  <c r="N12" i="63"/>
  <c r="P12" i="63" s="1"/>
  <c r="O9" i="63"/>
  <c r="N9" i="63"/>
  <c r="O8" i="63"/>
  <c r="N8" i="63"/>
  <c r="O11" i="63"/>
  <c r="N11" i="63"/>
  <c r="M11" i="63"/>
  <c r="L11" i="63"/>
  <c r="L8" i="48"/>
  <c r="M8" i="48"/>
  <c r="N8" i="48"/>
  <c r="P8" i="48" s="1"/>
  <c r="O8" i="48"/>
  <c r="O14" i="63"/>
  <c r="N14" i="63"/>
  <c r="M14" i="63"/>
  <c r="L14" i="63"/>
  <c r="M8" i="63"/>
  <c r="L8" i="63"/>
  <c r="M9" i="63"/>
  <c r="L9" i="63"/>
  <c r="P10" i="63"/>
  <c r="M10" i="63"/>
  <c r="L10" i="63"/>
  <c r="M12" i="63"/>
  <c r="L12" i="63"/>
  <c r="M7" i="63"/>
  <c r="L7" i="63"/>
  <c r="B6" i="62"/>
  <c r="B7" i="62" s="1"/>
  <c r="B8" i="62" s="1"/>
  <c r="B9" i="62" s="1"/>
  <c r="B10" i="62" s="1"/>
  <c r="B11" i="62" s="1"/>
  <c r="B12" i="62" s="1"/>
  <c r="B13" i="62" s="1"/>
  <c r="B14" i="62" s="1"/>
  <c r="O8" i="62"/>
  <c r="P8" i="62" s="1"/>
  <c r="N8" i="62"/>
  <c r="O6" i="62"/>
  <c r="P6" i="62" s="1"/>
  <c r="N6" i="62"/>
  <c r="O14" i="62"/>
  <c r="N14" i="62"/>
  <c r="O13" i="62"/>
  <c r="N13" i="62"/>
  <c r="P13" i="62" s="1"/>
  <c r="O11" i="62"/>
  <c r="P11" i="62" s="1"/>
  <c r="N11" i="62"/>
  <c r="O10" i="62"/>
  <c r="N10" i="62"/>
  <c r="O12" i="62"/>
  <c r="N12" i="62"/>
  <c r="O7" i="62"/>
  <c r="N7" i="62"/>
  <c r="O9" i="62"/>
  <c r="N9" i="62"/>
  <c r="P14" i="62"/>
  <c r="M14" i="62"/>
  <c r="L14" i="62"/>
  <c r="M10" i="62"/>
  <c r="L10" i="62"/>
  <c r="P12" i="62"/>
  <c r="M12" i="62"/>
  <c r="L12" i="62"/>
  <c r="M6" i="62"/>
  <c r="L6" i="62"/>
  <c r="M13" i="62"/>
  <c r="L13" i="62"/>
  <c r="M11" i="62"/>
  <c r="L11" i="62"/>
  <c r="P9" i="62"/>
  <c r="M9" i="62"/>
  <c r="L9" i="62"/>
  <c r="M8" i="62"/>
  <c r="L8" i="62"/>
  <c r="P7" i="62"/>
  <c r="M7" i="62"/>
  <c r="L7" i="62"/>
  <c r="N6" i="61"/>
  <c r="N7" i="61"/>
  <c r="O8" i="61"/>
  <c r="N8" i="61"/>
  <c r="B6" i="61"/>
  <c r="B7" i="61"/>
  <c r="B8" i="61" s="1"/>
  <c r="B9" i="61" s="1"/>
  <c r="B10" i="61" s="1"/>
  <c r="O7" i="61"/>
  <c r="O6" i="61"/>
  <c r="O9" i="61"/>
  <c r="N9" i="61"/>
  <c r="P9" i="61" s="1"/>
  <c r="O10" i="61"/>
  <c r="P10" i="61" s="1"/>
  <c r="N10" i="61"/>
  <c r="M9" i="61"/>
  <c r="L9" i="61"/>
  <c r="M10" i="61"/>
  <c r="L10" i="61"/>
  <c r="P7" i="61"/>
  <c r="M7" i="61"/>
  <c r="L7" i="61"/>
  <c r="M8" i="61"/>
  <c r="L8" i="61"/>
  <c r="P6" i="61"/>
  <c r="M6" i="61"/>
  <c r="L6" i="61"/>
  <c r="O8" i="60"/>
  <c r="N8" i="60"/>
  <c r="O7" i="60"/>
  <c r="N7" i="60"/>
  <c r="O6" i="60"/>
  <c r="N6" i="60"/>
  <c r="O10" i="60"/>
  <c r="N10" i="60"/>
  <c r="B6" i="60"/>
  <c r="B7" i="60" s="1"/>
  <c r="B8" i="60" s="1"/>
  <c r="B9" i="60" s="1"/>
  <c r="B10" i="60" s="1"/>
  <c r="O9" i="60"/>
  <c r="P9" i="60" s="1"/>
  <c r="N9" i="60"/>
  <c r="P6" i="60"/>
  <c r="M6" i="60"/>
  <c r="L6" i="60"/>
  <c r="M9" i="60"/>
  <c r="L9" i="60"/>
  <c r="P10" i="60"/>
  <c r="M10" i="60"/>
  <c r="L10" i="60"/>
  <c r="M8" i="60"/>
  <c r="L8" i="60"/>
  <c r="P7" i="60"/>
  <c r="M7" i="60"/>
  <c r="L7" i="60"/>
  <c r="O6" i="59"/>
  <c r="N6" i="59"/>
  <c r="B6" i="59"/>
  <c r="B7" i="59" s="1"/>
  <c r="B8" i="59" s="1"/>
  <c r="B9" i="59" s="1"/>
  <c r="B10" i="59" s="1"/>
  <c r="M6" i="59"/>
  <c r="L6" i="59"/>
  <c r="O7" i="59"/>
  <c r="N7" i="59"/>
  <c r="O9" i="59"/>
  <c r="N9" i="59"/>
  <c r="O8" i="59"/>
  <c r="N8" i="59"/>
  <c r="P8" i="59" s="1"/>
  <c r="O10" i="59"/>
  <c r="N10" i="59"/>
  <c r="M8" i="59"/>
  <c r="L8" i="59"/>
  <c r="P9" i="59"/>
  <c r="M9" i="59"/>
  <c r="L9" i="59"/>
  <c r="M10" i="59"/>
  <c r="L10" i="59"/>
  <c r="P7" i="59"/>
  <c r="M7" i="59"/>
  <c r="L7" i="59"/>
  <c r="O11" i="58"/>
  <c r="P11" i="58" s="1"/>
  <c r="N11" i="58"/>
  <c r="O9" i="58"/>
  <c r="P9" i="58" s="1"/>
  <c r="N9" i="58"/>
  <c r="O7" i="58"/>
  <c r="N7" i="58"/>
  <c r="P7" i="58" s="1"/>
  <c r="M7" i="58"/>
  <c r="L7" i="58"/>
  <c r="O8" i="58"/>
  <c r="N8" i="58"/>
  <c r="M8" i="58"/>
  <c r="L8" i="58"/>
  <c r="O6" i="58"/>
  <c r="P6" i="58" s="1"/>
  <c r="N6" i="58"/>
  <c r="O10" i="58"/>
  <c r="N10" i="58"/>
  <c r="P10" i="58" s="1"/>
  <c r="M11" i="58"/>
  <c r="L11" i="58"/>
  <c r="M10" i="58"/>
  <c r="L10" i="58"/>
  <c r="M9" i="58"/>
  <c r="L9" i="58"/>
  <c r="M6" i="58"/>
  <c r="L6" i="58"/>
  <c r="B6" i="58"/>
  <c r="B7" i="58" s="1"/>
  <c r="B8" i="58" s="1"/>
  <c r="B9" i="58" s="1"/>
  <c r="B10" i="58" s="1"/>
  <c r="B11" i="58" s="1"/>
  <c r="O6" i="56"/>
  <c r="P6" i="56" s="1"/>
  <c r="N6" i="56"/>
  <c r="O11" i="56"/>
  <c r="N11" i="56"/>
  <c r="M11" i="56"/>
  <c r="L11" i="56"/>
  <c r="O10" i="56"/>
  <c r="P10" i="56" s="1"/>
  <c r="N10" i="56"/>
  <c r="M10" i="56"/>
  <c r="L10" i="56"/>
  <c r="O9" i="56"/>
  <c r="N9" i="56"/>
  <c r="P9" i="56" s="1"/>
  <c r="M9" i="56"/>
  <c r="L9" i="56"/>
  <c r="O8" i="56"/>
  <c r="N8" i="56"/>
  <c r="P8" i="56" s="1"/>
  <c r="M8" i="56"/>
  <c r="L8" i="56"/>
  <c r="O7" i="56"/>
  <c r="N7" i="56"/>
  <c r="P7" i="56" s="1"/>
  <c r="M7" i="56"/>
  <c r="L7" i="56"/>
  <c r="M6" i="56"/>
  <c r="L6" i="56"/>
  <c r="O15" i="57"/>
  <c r="N15" i="57"/>
  <c r="M15" i="57"/>
  <c r="L15" i="57"/>
  <c r="O14" i="57"/>
  <c r="N14" i="57"/>
  <c r="P14" i="57" s="1"/>
  <c r="M14" i="57"/>
  <c r="L14" i="57"/>
  <c r="O13" i="57"/>
  <c r="N13" i="57"/>
  <c r="M13" i="57"/>
  <c r="L13" i="57"/>
  <c r="O12" i="57"/>
  <c r="N12" i="57"/>
  <c r="P12" i="57" s="1"/>
  <c r="M12" i="57"/>
  <c r="L12" i="57"/>
  <c r="O11" i="57"/>
  <c r="N11" i="57"/>
  <c r="M11" i="57"/>
  <c r="L11" i="57"/>
  <c r="O10" i="57"/>
  <c r="N10" i="57"/>
  <c r="P10" i="57" s="1"/>
  <c r="M10" i="57"/>
  <c r="L10" i="57"/>
  <c r="O9" i="57"/>
  <c r="N9" i="57"/>
  <c r="P9" i="57" s="1"/>
  <c r="M9" i="57"/>
  <c r="L9" i="57"/>
  <c r="O8" i="57"/>
  <c r="N8" i="57"/>
  <c r="M8" i="57"/>
  <c r="L8" i="57"/>
  <c r="O7" i="57"/>
  <c r="N7" i="57"/>
  <c r="M7" i="57"/>
  <c r="L7" i="57"/>
  <c r="O6" i="57"/>
  <c r="N6" i="57"/>
  <c r="M6" i="57"/>
  <c r="L6" i="57"/>
  <c r="B6" i="57"/>
  <c r="B7" i="57"/>
  <c r="B8" i="57" s="1"/>
  <c r="B9" i="57" s="1"/>
  <c r="B10" i="57" s="1"/>
  <c r="B11" i="57" s="1"/>
  <c r="B12" i="57" s="1"/>
  <c r="B13" i="57" s="1"/>
  <c r="B14" i="57" s="1"/>
  <c r="B15" i="57" s="1"/>
  <c r="P15" i="57"/>
  <c r="P11" i="57"/>
  <c r="B6" i="56"/>
  <c r="B7" i="56"/>
  <c r="B8" i="56" s="1"/>
  <c r="B9" i="56" s="1"/>
  <c r="B10" i="56" s="1"/>
  <c r="B11" i="56" s="1"/>
  <c r="O11" i="55"/>
  <c r="N11" i="55"/>
  <c r="O9" i="55"/>
  <c r="N9" i="55"/>
  <c r="P9" i="55" s="1"/>
  <c r="O8" i="55"/>
  <c r="P8" i="55" s="1"/>
  <c r="N8" i="55"/>
  <c r="O6" i="55"/>
  <c r="N6" i="55"/>
  <c r="P6" i="55" s="1"/>
  <c r="O14" i="55"/>
  <c r="P14" i="55" s="1"/>
  <c r="N14" i="55"/>
  <c r="O13" i="55"/>
  <c r="N13" i="55"/>
  <c r="P13" i="55" s="1"/>
  <c r="O15" i="55"/>
  <c r="N15" i="55"/>
  <c r="O12" i="55"/>
  <c r="N12" i="55"/>
  <c r="O16" i="55"/>
  <c r="N16" i="55"/>
  <c r="O10" i="55"/>
  <c r="N10" i="55"/>
  <c r="P10" i="55" s="1"/>
  <c r="O7" i="55"/>
  <c r="N7" i="55"/>
  <c r="M10" i="55"/>
  <c r="L10" i="55"/>
  <c r="P11" i="55"/>
  <c r="M11" i="55"/>
  <c r="L11" i="55"/>
  <c r="M15" i="55"/>
  <c r="L15" i="55"/>
  <c r="M14" i="55"/>
  <c r="L14" i="55"/>
  <c r="M13" i="55"/>
  <c r="L13" i="55"/>
  <c r="M16" i="55"/>
  <c r="L16" i="55"/>
  <c r="P12" i="55"/>
  <c r="M12" i="55"/>
  <c r="L12" i="55"/>
  <c r="M9" i="55"/>
  <c r="L9" i="55"/>
  <c r="M8" i="55"/>
  <c r="L8" i="55"/>
  <c r="M7" i="55"/>
  <c r="L7" i="55"/>
  <c r="M6" i="55"/>
  <c r="L6" i="55"/>
  <c r="B6" i="55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O8" i="54"/>
  <c r="N8" i="54"/>
  <c r="P8" i="54" s="1"/>
  <c r="O11" i="54"/>
  <c r="N11" i="54"/>
  <c r="P11" i="54" s="1"/>
  <c r="M11" i="54"/>
  <c r="L11" i="54"/>
  <c r="O10" i="54"/>
  <c r="N10" i="54"/>
  <c r="M10" i="54"/>
  <c r="L10" i="54"/>
  <c r="O9" i="54"/>
  <c r="N9" i="54"/>
  <c r="P9" i="54" s="1"/>
  <c r="M9" i="54"/>
  <c r="L9" i="54"/>
  <c r="M8" i="54"/>
  <c r="L8" i="54"/>
  <c r="O7" i="54"/>
  <c r="N7" i="54"/>
  <c r="P7" i="54"/>
  <c r="M7" i="54"/>
  <c r="L7" i="54"/>
  <c r="O6" i="54"/>
  <c r="N6" i="54"/>
  <c r="P6" i="54" s="1"/>
  <c r="M6" i="54"/>
  <c r="L6" i="54"/>
  <c r="B6" i="54"/>
  <c r="B7" i="54" s="1"/>
  <c r="B8" i="54" s="1"/>
  <c r="B9" i="54" s="1"/>
  <c r="B10" i="54" s="1"/>
  <c r="B11" i="54" s="1"/>
  <c r="O7" i="53"/>
  <c r="N7" i="53"/>
  <c r="O6" i="53"/>
  <c r="N6" i="53"/>
  <c r="P6" i="53" s="1"/>
  <c r="O8" i="53"/>
  <c r="N8" i="53"/>
  <c r="O10" i="53"/>
  <c r="N10" i="53"/>
  <c r="P10" i="53" s="1"/>
  <c r="O9" i="53"/>
  <c r="P9" i="53" s="1"/>
  <c r="N9" i="53"/>
  <c r="M10" i="53"/>
  <c r="L10" i="53"/>
  <c r="M9" i="53"/>
  <c r="L9" i="53"/>
  <c r="M8" i="53"/>
  <c r="L8" i="53"/>
  <c r="M7" i="53"/>
  <c r="L7" i="53"/>
  <c r="M6" i="53"/>
  <c r="L6" i="53"/>
  <c r="B6" i="53"/>
  <c r="B7" i="53" s="1"/>
  <c r="B8" i="53" s="1"/>
  <c r="B9" i="53" s="1"/>
  <c r="B10" i="53" s="1"/>
  <c r="O7" i="52"/>
  <c r="N7" i="52"/>
  <c r="P7" i="52" s="1"/>
  <c r="O6" i="52"/>
  <c r="N6" i="52"/>
  <c r="O8" i="52"/>
  <c r="N8" i="52"/>
  <c r="O9" i="52"/>
  <c r="N9" i="52"/>
  <c r="M9" i="52"/>
  <c r="L9" i="52"/>
  <c r="P8" i="52"/>
  <c r="M8" i="52"/>
  <c r="L8" i="52"/>
  <c r="M7" i="52"/>
  <c r="L7" i="52"/>
  <c r="M6" i="52"/>
  <c r="L6" i="52"/>
  <c r="B6" i="52"/>
  <c r="B7" i="52" s="1"/>
  <c r="B8" i="52" s="1"/>
  <c r="B9" i="52" s="1"/>
  <c r="P6" i="52"/>
  <c r="O10" i="51"/>
  <c r="N10" i="51"/>
  <c r="M10" i="51"/>
  <c r="L10" i="51"/>
  <c r="O9" i="51"/>
  <c r="P9" i="51" s="1"/>
  <c r="N9" i="51"/>
  <c r="M9" i="51"/>
  <c r="L9" i="51"/>
  <c r="O8" i="51"/>
  <c r="N8" i="51"/>
  <c r="P8" i="51" s="1"/>
  <c r="M8" i="51"/>
  <c r="L8" i="51"/>
  <c r="O7" i="51"/>
  <c r="N7" i="51"/>
  <c r="M7" i="51"/>
  <c r="L7" i="51"/>
  <c r="O6" i="51"/>
  <c r="N6" i="51"/>
  <c r="M6" i="51"/>
  <c r="L6" i="51"/>
  <c r="B6" i="51"/>
  <c r="B7" i="51" s="1"/>
  <c r="B8" i="51" s="1"/>
  <c r="B9" i="51" s="1"/>
  <c r="B10" i="51" s="1"/>
  <c r="O6" i="50"/>
  <c r="N6" i="50"/>
  <c r="P6" i="50" s="1"/>
  <c r="O8" i="50"/>
  <c r="N8" i="50"/>
  <c r="O10" i="50"/>
  <c r="N10" i="50"/>
  <c r="P10" i="50" s="1"/>
  <c r="O7" i="50"/>
  <c r="N7" i="50"/>
  <c r="O9" i="50"/>
  <c r="N9" i="50"/>
  <c r="P9" i="50" s="1"/>
  <c r="M9" i="50"/>
  <c r="L9" i="50"/>
  <c r="M10" i="50"/>
  <c r="L10" i="50"/>
  <c r="M8" i="50"/>
  <c r="L8" i="50"/>
  <c r="P7" i="50"/>
  <c r="M7" i="50"/>
  <c r="L7" i="50"/>
  <c r="M6" i="50"/>
  <c r="L6" i="50"/>
  <c r="B6" i="50"/>
  <c r="B7" i="50" s="1"/>
  <c r="B8" i="50" s="1"/>
  <c r="B9" i="50" s="1"/>
  <c r="B10" i="50" s="1"/>
  <c r="O6" i="49"/>
  <c r="N6" i="49"/>
  <c r="P6" i="49" s="1"/>
  <c r="O7" i="49"/>
  <c r="N7" i="49"/>
  <c r="O9" i="49"/>
  <c r="N9" i="49"/>
  <c r="O10" i="49"/>
  <c r="N10" i="49"/>
  <c r="O8" i="49"/>
  <c r="N8" i="49"/>
  <c r="P8" i="49" s="1"/>
  <c r="M8" i="49"/>
  <c r="L8" i="49"/>
  <c r="M10" i="49"/>
  <c r="L10" i="49"/>
  <c r="M9" i="49"/>
  <c r="L9" i="49"/>
  <c r="M7" i="49"/>
  <c r="L7" i="49"/>
  <c r="M6" i="49"/>
  <c r="L6" i="49"/>
  <c r="B6" i="49"/>
  <c r="B7" i="49" s="1"/>
  <c r="B8" i="49" s="1"/>
  <c r="B9" i="49" s="1"/>
  <c r="B10" i="49" s="1"/>
  <c r="P9" i="49"/>
  <c r="N10" i="48"/>
  <c r="O10" i="48"/>
  <c r="M10" i="48"/>
  <c r="L10" i="48"/>
  <c r="N9" i="48"/>
  <c r="P9" i="48" s="1"/>
  <c r="O9" i="48"/>
  <c r="M9" i="48"/>
  <c r="L9" i="48"/>
  <c r="N7" i="48"/>
  <c r="O7" i="48"/>
  <c r="M7" i="48"/>
  <c r="L7" i="48"/>
  <c r="N6" i="48"/>
  <c r="O6" i="48"/>
  <c r="M6" i="48"/>
  <c r="L6" i="48"/>
  <c r="B6" i="48"/>
  <c r="B7" i="48" s="1"/>
  <c r="B6" i="47"/>
  <c r="B7" i="47" s="1"/>
  <c r="B8" i="47" s="1"/>
  <c r="B9" i="47" s="1"/>
  <c r="O9" i="47"/>
  <c r="N9" i="47"/>
  <c r="O6" i="47"/>
  <c r="N6" i="47"/>
  <c r="O7" i="47"/>
  <c r="N7" i="47"/>
  <c r="P7" i="47" s="1"/>
  <c r="O8" i="47"/>
  <c r="N8" i="47"/>
  <c r="P8" i="47" s="1"/>
  <c r="M8" i="47"/>
  <c r="L8" i="47"/>
  <c r="M7" i="47"/>
  <c r="L7" i="47"/>
  <c r="M9" i="47"/>
  <c r="L9" i="47"/>
  <c r="M6" i="47"/>
  <c r="L6" i="47"/>
  <c r="O6" i="46"/>
  <c r="P6" i="46" s="1"/>
  <c r="N6" i="46"/>
  <c r="B6" i="46"/>
  <c r="B7" i="46" s="1"/>
  <c r="B8" i="46" s="1"/>
  <c r="B9" i="46" s="1"/>
  <c r="B10" i="46" s="1"/>
  <c r="O9" i="46"/>
  <c r="P9" i="46"/>
  <c r="N9" i="46"/>
  <c r="O10" i="46"/>
  <c r="N10" i="46"/>
  <c r="O8" i="46"/>
  <c r="N8" i="46"/>
  <c r="O7" i="46"/>
  <c r="N7" i="46"/>
  <c r="M8" i="46"/>
  <c r="L8" i="46"/>
  <c r="M7" i="46"/>
  <c r="L7" i="46"/>
  <c r="P10" i="46"/>
  <c r="M10" i="46"/>
  <c r="L10" i="46"/>
  <c r="M9" i="46"/>
  <c r="L9" i="46"/>
  <c r="M6" i="46"/>
  <c r="L6" i="46"/>
  <c r="B8" i="48" l="1"/>
  <c r="B9" i="48" s="1"/>
  <c r="B10" i="48" s="1"/>
  <c r="P7" i="46"/>
  <c r="P9" i="47"/>
  <c r="P10" i="54"/>
  <c r="P11" i="56"/>
  <c r="P6" i="47"/>
  <c r="P8" i="50"/>
  <c r="P6" i="51"/>
  <c r="P7" i="51"/>
  <c r="P10" i="51"/>
  <c r="P6" i="57"/>
  <c r="P7" i="57"/>
  <c r="P8" i="57"/>
  <c r="P13" i="57"/>
  <c r="P6" i="59"/>
  <c r="P8" i="61"/>
  <c r="P8" i="46"/>
  <c r="P6" i="48"/>
  <c r="P7" i="48"/>
  <c r="P10" i="48"/>
  <c r="P10" i="49"/>
  <c r="P7" i="49"/>
  <c r="P9" i="52"/>
  <c r="P8" i="53"/>
  <c r="P7" i="53"/>
  <c r="P7" i="55"/>
  <c r="P16" i="55"/>
  <c r="P15" i="55"/>
  <c r="P8" i="58"/>
  <c r="P10" i="59"/>
  <c r="P8" i="60"/>
  <c r="P10" i="62"/>
  <c r="P7" i="63"/>
  <c r="P9" i="63"/>
  <c r="P8" i="63"/>
  <c r="P11" i="63"/>
  <c r="P14" i="63"/>
</calcChain>
</file>

<file path=xl/sharedStrings.xml><?xml version="1.0" encoding="utf-8"?>
<sst xmlns="http://schemas.openxmlformats.org/spreadsheetml/2006/main" count="822" uniqueCount="85">
  <si>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</si>
  <si>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</si>
  <si>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</si>
  <si>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</si>
  <si>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</si>
  <si>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</si>
  <si>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</si>
  <si>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</si>
  <si>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</si>
  <si>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</si>
  <si>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</si>
  <si>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</si>
  <si>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</si>
  <si>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</si>
  <si>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</si>
  <si>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</si>
  <si>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</si>
  <si>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</si>
  <si>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</si>
  <si>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</si>
  <si>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</si>
  <si>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</si>
  <si>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</si>
  <si>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</si>
  <si>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</si>
  <si>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</si>
  <si>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</si>
  <si>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</si>
  <si>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</si>
  <si>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</si>
  <si>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</si>
  <si>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</si>
  <si>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</si>
  <si>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</si>
  <si>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</si>
  <si>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</si>
  <si>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</si>
  <si>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</si>
  <si>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</si>
  <si>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</si>
  <si>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</si>
  <si>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</si>
  <si>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</si>
  <si>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</si>
  <si>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</si>
  <si>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</si>
  <si>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</si>
  <si>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</si>
  <si>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</si>
  <si>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</si>
  <si>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</si>
  <si>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</si>
  <si>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</si>
  <si>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</si>
  <si>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</si>
  <si>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</si>
  <si>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</si>
  <si>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</si>
  <si>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</si>
  <si>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</si>
  <si>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</si>
  <si>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</si>
  <si>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</si>
  <si>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</si>
  <si>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</si>
  <si>
    <t>2015 / 14</t>
  </si>
  <si>
    <t>03 - 09 Nisan 2015</t>
  </si>
  <si>
    <t>COBBLER, THE</t>
  </si>
  <si>
    <t>2015 / 15</t>
  </si>
  <si>
    <t>10 - 16 Nisan 2015</t>
  </si>
  <si>
    <t>CUB</t>
  </si>
  <si>
    <t>2015 / 16</t>
  </si>
  <si>
    <t>17 - 23 Nisan 2015</t>
  </si>
  <si>
    <t>2015 / 17</t>
  </si>
  <si>
    <t>24 - 30 Nisan 2015</t>
  </si>
  <si>
    <t>BLACK SEA</t>
  </si>
  <si>
    <t>2015 / 18</t>
  </si>
  <si>
    <t>01 - 07 Mayıs 2015</t>
  </si>
  <si>
    <t>POSTHUMOUS</t>
  </si>
  <si>
    <t>2015 / 19</t>
  </si>
  <si>
    <t>08 - 14 Mayıs 2015</t>
  </si>
  <si>
    <t>IT FOLLOWS</t>
  </si>
  <si>
    <t>2015 / 20</t>
  </si>
  <si>
    <t>15 - 21 Mayıs 2015</t>
  </si>
  <si>
    <t>SUITE FRANCAISE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</si>
</sst>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4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6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6" fontId="8" fillId="4" borderId="37" xfId="0" applyNumberFormat="1" applyFont="1" applyFill="1" applyBorder="1" applyAlignment="1">
      <alignment vertical="center" shrinkToFit="1"/>
    </xf>
    <xf numFmtId="167" fontId="8" fillId="4" borderId="35" xfId="2" applyNumberFormat="1" applyFont="1" applyFill="1" applyBorder="1" applyAlignment="1" applyProtection="1">
      <alignment vertical="center" shrinkToFit="1"/>
      <protection locked="0"/>
    </xf>
    <xf numFmtId="166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6" fontId="8" fillId="4" borderId="27" xfId="0" applyNumberFormat="1" applyFont="1" applyFill="1" applyBorder="1" applyAlignment="1">
      <alignment vertical="center" shrinkToFit="1"/>
    </xf>
    <xf numFmtId="167" fontId="8" fillId="4" borderId="28" xfId="2" applyNumberFormat="1" applyFont="1" applyFill="1" applyBorder="1" applyAlignment="1" applyProtection="1">
      <alignment vertical="center" shrinkToFit="1"/>
      <protection locked="0"/>
    </xf>
    <xf numFmtId="0" fontId="8" fillId="4" borderId="3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 applyProtection="1">
      <alignment horizontal="right" vertical="center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82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83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35</v>
      </c>
      <c r="I6" s="50">
        <v>1</v>
      </c>
      <c r="J6" s="53">
        <v>68974</v>
      </c>
      <c r="K6" s="16">
        <v>5512</v>
      </c>
      <c r="L6" s="51">
        <f t="shared" ref="L6" si="0">K6/H6</f>
        <v>157.48571428571429</v>
      </c>
      <c r="M6" s="52">
        <f t="shared" ref="M6" si="1">+J6/K6</f>
        <v>12.513425253991292</v>
      </c>
      <c r="N6" s="54">
        <f>68974</f>
        <v>68974</v>
      </c>
      <c r="O6" s="55">
        <f>5512</f>
        <v>5512</v>
      </c>
      <c r="P6" s="56">
        <f t="shared" ref="P6" si="2">N6/O6</f>
        <v>12.513425253991292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52</v>
      </c>
      <c r="I7" s="20">
        <v>2</v>
      </c>
      <c r="J7" s="21">
        <v>52946.080000000002</v>
      </c>
      <c r="K7" s="22">
        <v>4867</v>
      </c>
      <c r="L7" s="23">
        <f t="shared" ref="L7:L15" si="4">K7/H7</f>
        <v>93.59615384615384</v>
      </c>
      <c r="M7" s="24">
        <f t="shared" ref="M7:M15" si="5">+J7/K7</f>
        <v>10.878586398191905</v>
      </c>
      <c r="N7" s="25">
        <f>150395.08+52946.08</f>
        <v>203341.15999999997</v>
      </c>
      <c r="O7" s="26">
        <f>14539+4867</f>
        <v>19406</v>
      </c>
      <c r="P7" s="27">
        <f t="shared" ref="P7:P15" si="6">N7/O7</f>
        <v>10.478262393074306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2</v>
      </c>
      <c r="I8" s="20">
        <v>10</v>
      </c>
      <c r="J8" s="21">
        <v>3460.6</v>
      </c>
      <c r="K8" s="22">
        <v>873</v>
      </c>
      <c r="L8" s="23">
        <f>K8/H8</f>
        <v>436.5</v>
      </c>
      <c r="M8" s="24">
        <f>+J8/K8</f>
        <v>3.9640320733104235</v>
      </c>
      <c r="N8" s="25">
        <f>371891.95+241999.75+69894+20187.87+18724.1+22951.5+4635.5+1896+668+3460.6</f>
        <v>756309.2699999999</v>
      </c>
      <c r="O8" s="26">
        <f>33703+24038+8305+2721+2351+2413+517+210+165+873</f>
        <v>75296</v>
      </c>
      <c r="P8" s="27">
        <f>N8/O8</f>
        <v>10.044481380152995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26</v>
      </c>
      <c r="J9" s="21">
        <v>1911</v>
      </c>
      <c r="K9" s="22">
        <v>233</v>
      </c>
      <c r="L9" s="23">
        <f>K9/H9</f>
        <v>77.666666666666671</v>
      </c>
      <c r="M9" s="24">
        <f>+J9/K9</f>
        <v>8.2017167381974243</v>
      </c>
      <c r="N9" s="25">
        <f>1099708.11+593370.74+224185+52839.5+17039.5+9578+7414+5098+4983.5+10660.5+14194.5+2400+3550+2380.5+7656.5+4091.5+1713+2737+828+128+4019.35+696+742+3681+1237+1911</f>
        <v>2076842.2000000002</v>
      </c>
      <c r="O9" s="26">
        <f>102148+56106+22339+5539+1692+934+809+597+525+1619+1502+226+582+302+1163+486+470+558+154+16+730+93+96+595+155+233</f>
        <v>199669</v>
      </c>
      <c r="P9" s="27">
        <f>N9/O9</f>
        <v>10.401425358969094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28</v>
      </c>
      <c r="D10" s="58">
        <v>41866</v>
      </c>
      <c r="E10" s="59" t="s">
        <v>9</v>
      </c>
      <c r="F10" s="60" t="s">
        <v>29</v>
      </c>
      <c r="G10" s="61">
        <v>31</v>
      </c>
      <c r="H10" s="19">
        <v>2</v>
      </c>
      <c r="I10" s="20">
        <v>29</v>
      </c>
      <c r="J10" s="21">
        <v>1190</v>
      </c>
      <c r="K10" s="22">
        <v>371</v>
      </c>
      <c r="L10" s="23">
        <f>K10/H10</f>
        <v>185.5</v>
      </c>
      <c r="M10" s="24">
        <f>+J10/K10</f>
        <v>3.2075471698113209</v>
      </c>
      <c r="N10" s="25">
        <f>166393.25+120953.88+26778.83+15413.16+8141+9655+7141+22668+12148+7305+4200+124+102+212+223+1619+804+2201+992+1988+3344+6211+2046.8+2141.5+1165.4+242+120+285+1190</f>
        <v>425807.82</v>
      </c>
      <c r="O10" s="26">
        <f>16398+11920+2425+1471+815+935+859+2615+1401+831+549+16+14+27+29+174+87+240+98+249+365+643+408+205+207+35+17+36+371</f>
        <v>43440</v>
      </c>
      <c r="P10" s="27">
        <f>N10/O10</f>
        <v>9.8022058011049733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20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204425.4+130339.21+47866.4+41040.53+24854.45+10673+4557.5+1594+1611.5+4273+260+202.5+1010+8553.6+1425.6+1425.6+600+712.8+600+950.4</f>
        <v>486975.49</v>
      </c>
      <c r="O11" s="26">
        <f>19421+12650+4370+3566+2047+958+545+202+192+659+33+26+109+1176+285+285+49+143+49+190</f>
        <v>46955</v>
      </c>
      <c r="P11" s="27">
        <f>N11/O11</f>
        <v>10.37111042487488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70</v>
      </c>
      <c r="D12" s="58">
        <v>42104</v>
      </c>
      <c r="E12" s="59" t="s">
        <v>9</v>
      </c>
      <c r="F12" s="60" t="s">
        <v>9</v>
      </c>
      <c r="G12" s="61">
        <v>24</v>
      </c>
      <c r="H12" s="19">
        <v>3</v>
      </c>
      <c r="I12" s="20">
        <v>5</v>
      </c>
      <c r="J12" s="21">
        <v>840</v>
      </c>
      <c r="K12" s="22">
        <v>105</v>
      </c>
      <c r="L12" s="23">
        <f t="shared" si="4"/>
        <v>35</v>
      </c>
      <c r="M12" s="24">
        <f t="shared" si="5"/>
        <v>8</v>
      </c>
      <c r="N12" s="25">
        <f>84987.77+10982.5+2017.5+2342+840</f>
        <v>101169.77</v>
      </c>
      <c r="O12" s="26">
        <f>7931+982+226+283+105</f>
        <v>9527</v>
      </c>
      <c r="P12" s="27">
        <f t="shared" si="6"/>
        <v>10.619268395087646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11</v>
      </c>
      <c r="J13" s="21">
        <v>327</v>
      </c>
      <c r="K13" s="22">
        <v>41</v>
      </c>
      <c r="L13" s="23">
        <f t="shared" si="4"/>
        <v>20.5</v>
      </c>
      <c r="M13" s="24">
        <f t="shared" si="5"/>
        <v>7.975609756097561</v>
      </c>
      <c r="N13" s="25">
        <f>129506.8+46365.5+5111+2960.5+1288.5+1086.5+622+418+996+412+327</f>
        <v>189093.8</v>
      </c>
      <c r="O13" s="26">
        <f>12756+4851+538+406+161+135+76+54+109+52+41</f>
        <v>19179</v>
      </c>
      <c r="P13" s="27">
        <f t="shared" si="6"/>
        <v>9.8594191563689453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22</v>
      </c>
      <c r="J14" s="21">
        <v>258</v>
      </c>
      <c r="K14" s="22">
        <v>32</v>
      </c>
      <c r="L14" s="23">
        <f t="shared" si="4"/>
        <v>32</v>
      </c>
      <c r="M14" s="24">
        <f t="shared" si="5"/>
        <v>8.0625</v>
      </c>
      <c r="N14" s="25">
        <f>73428.48+65677.81+40435.99+20437+22258.56+12040.44+17815.52+6634+2166+2694+5184+2502+3981+1205+69+696+782+2067.5+665+2013.6+288+258</f>
        <v>283298.89999999991</v>
      </c>
      <c r="O14" s="26">
        <f>7463+6959+4805+2294+2518+1280+2169+965+358+347+662+324+455+143+13+136+154+177+51+403+36+32</f>
        <v>31744</v>
      </c>
      <c r="P14" s="27">
        <f t="shared" si="6"/>
        <v>8.924486517137094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50</v>
      </c>
      <c r="D15" s="37">
        <v>41796</v>
      </c>
      <c r="E15" s="38" t="s">
        <v>9</v>
      </c>
      <c r="F15" s="39" t="s">
        <v>9</v>
      </c>
      <c r="G15" s="40">
        <v>22</v>
      </c>
      <c r="H15" s="62">
        <v>1</v>
      </c>
      <c r="I15" s="63">
        <v>31</v>
      </c>
      <c r="J15" s="64">
        <v>153</v>
      </c>
      <c r="K15" s="65">
        <v>19</v>
      </c>
      <c r="L15" s="66">
        <f t="shared" si="4"/>
        <v>19</v>
      </c>
      <c r="M15" s="67">
        <f t="shared" si="5"/>
        <v>8.0526315789473681</v>
      </c>
      <c r="N15" s="68">
        <f>166025.28+97326.52+57686.96+13701.5+11079.5+6936+18694.5+12272.5+7080.5+9304+8779+4785.44+5102.63+3908.66+4837+3724+3492+9632.5+4839+5360.5+615.5+83+1425.6+1525+121+1722.5+1737.5+1635+2287.5+272+153</f>
        <v>466145.58999999997</v>
      </c>
      <c r="O15" s="69">
        <f>15114+9515+5786+1430+1181+648+1199+1400+830+999+900+603+561+474+557+436+370+1189+567+607+105+10+285+117+12+138+141+137+196+34+19</f>
        <v>45560</v>
      </c>
      <c r="P15" s="70">
        <f t="shared" si="6"/>
        <v>10.231465978928885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56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57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35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36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26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27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79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80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81</v>
      </c>
      <c r="D6" s="45">
        <v>42132</v>
      </c>
      <c r="E6" s="46" t="s">
        <v>9</v>
      </c>
      <c r="F6" s="47" t="s">
        <v>9</v>
      </c>
      <c r="G6" s="48">
        <v>27</v>
      </c>
      <c r="H6" s="49">
        <v>77</v>
      </c>
      <c r="I6" s="50">
        <v>1</v>
      </c>
      <c r="J6" s="53">
        <v>150395.07999999999</v>
      </c>
      <c r="K6" s="16">
        <v>14539</v>
      </c>
      <c r="L6" s="51">
        <f t="shared" ref="L6:L19" si="0">K6/H6</f>
        <v>188.81818181818181</v>
      </c>
      <c r="M6" s="52">
        <f t="shared" ref="M6:M19" si="1">+J6/K6</f>
        <v>10.34425201183025</v>
      </c>
      <c r="N6" s="54">
        <f>150395.08</f>
        <v>150395.07999999999</v>
      </c>
      <c r="O6" s="55">
        <f>14539</f>
        <v>14539</v>
      </c>
      <c r="P6" s="56">
        <f t="shared" ref="P6:P19" si="2">N6/O6</f>
        <v>10.34425201183025</v>
      </c>
      <c r="Q6" s="29"/>
      <c r="R6" s="29"/>
      <c r="S6" s="29"/>
    </row>
    <row r="7" spans="1:19" s="3" customFormat="1" ht="22.5" customHeight="1" x14ac:dyDescent="0.25">
      <c r="B7" s="18">
        <f t="shared" ref="B7:B19" si="3">B6+1</f>
        <v>2</v>
      </c>
      <c r="C7" s="57" t="s">
        <v>78</v>
      </c>
      <c r="D7" s="58">
        <v>42125</v>
      </c>
      <c r="E7" s="59" t="s">
        <v>9</v>
      </c>
      <c r="F7" s="60" t="s">
        <v>29</v>
      </c>
      <c r="G7" s="61">
        <v>13</v>
      </c>
      <c r="H7" s="19">
        <v>10</v>
      </c>
      <c r="I7" s="20">
        <v>2</v>
      </c>
      <c r="J7" s="21">
        <v>13334.5</v>
      </c>
      <c r="K7" s="22">
        <v>938</v>
      </c>
      <c r="L7" s="23">
        <f t="shared" si="0"/>
        <v>93.8</v>
      </c>
      <c r="M7" s="24">
        <f t="shared" si="1"/>
        <v>14.215884861407249</v>
      </c>
      <c r="N7" s="25">
        <f>70884.8+13334.5</f>
        <v>84219.3</v>
      </c>
      <c r="O7" s="26">
        <f>5480+938</f>
        <v>6418</v>
      </c>
      <c r="P7" s="27">
        <f t="shared" si="2"/>
        <v>13.12235899033967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75</v>
      </c>
      <c r="D8" s="58">
        <v>42118</v>
      </c>
      <c r="E8" s="59" t="s">
        <v>9</v>
      </c>
      <c r="F8" s="60" t="s">
        <v>9</v>
      </c>
      <c r="G8" s="61">
        <v>13</v>
      </c>
      <c r="H8" s="19">
        <v>5</v>
      </c>
      <c r="I8" s="20">
        <v>3</v>
      </c>
      <c r="J8" s="21">
        <v>5173.5</v>
      </c>
      <c r="K8" s="22">
        <v>328</v>
      </c>
      <c r="L8" s="23">
        <f t="shared" si="0"/>
        <v>65.599999999999994</v>
      </c>
      <c r="M8" s="24">
        <f t="shared" si="1"/>
        <v>15.772865853658537</v>
      </c>
      <c r="N8" s="25">
        <f>119411.9+50675.11+5173.5</f>
        <v>175260.51</v>
      </c>
      <c r="O8" s="26">
        <f>9544+3585+328</f>
        <v>13457</v>
      </c>
      <c r="P8" s="27">
        <f t="shared" si="2"/>
        <v>13.023743033365536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5</v>
      </c>
      <c r="I9" s="20">
        <v>4</v>
      </c>
      <c r="J9" s="21">
        <v>2342</v>
      </c>
      <c r="K9" s="22">
        <v>283</v>
      </c>
      <c r="L9" s="23">
        <f t="shared" si="0"/>
        <v>56.6</v>
      </c>
      <c r="M9" s="24">
        <f t="shared" si="1"/>
        <v>8.2756183745583041</v>
      </c>
      <c r="N9" s="25">
        <f>84987.77+10982.5+2017.5+2342</f>
        <v>100329.77</v>
      </c>
      <c r="O9" s="26">
        <f>7931+982+226+283</f>
        <v>9422</v>
      </c>
      <c r="P9" s="27">
        <f t="shared" si="2"/>
        <v>10.648457864572277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25</v>
      </c>
      <c r="J10" s="21">
        <v>1237</v>
      </c>
      <c r="K10" s="22">
        <v>155</v>
      </c>
      <c r="L10" s="23">
        <f t="shared" si="0"/>
        <v>51.666666666666664</v>
      </c>
      <c r="M10" s="24">
        <f t="shared" si="1"/>
        <v>7.9806451612903224</v>
      </c>
      <c r="N10" s="25">
        <f>1099708.11+593370.74+224185+52839.5+17039.5+9578+7414+5098+4983.5+10660.5+14194.5+2400+3550+2380.5+7656.5+4091.5+1713+2737+828+128+4019.35+696+742+3681+1237</f>
        <v>2074931.2000000002</v>
      </c>
      <c r="O10" s="26">
        <f>102148+56106+22339+5539+1692+934+809+597+525+1619+1502+226+582+302+1163+486+470+558+154+16+730+93+96+595+155</f>
        <v>199436</v>
      </c>
      <c r="P10" s="27">
        <f t="shared" si="2"/>
        <v>10.403995266651959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9</v>
      </c>
      <c r="J11" s="21">
        <v>668</v>
      </c>
      <c r="K11" s="22">
        <v>165</v>
      </c>
      <c r="L11" s="23">
        <f t="shared" si="0"/>
        <v>82.5</v>
      </c>
      <c r="M11" s="24">
        <f t="shared" si="1"/>
        <v>4.0484848484848488</v>
      </c>
      <c r="N11" s="25">
        <f>371891.95+241999.75+69894+20187.87+18724.1+22951.5+4635.5+1896+668</f>
        <v>752848.66999999993</v>
      </c>
      <c r="O11" s="26">
        <f>33703+24038+8305+2721+2351+2413+517+210+165</f>
        <v>74423</v>
      </c>
      <c r="P11" s="27">
        <f t="shared" si="2"/>
        <v>10.11580653830133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33</v>
      </c>
      <c r="D12" s="58">
        <v>41873</v>
      </c>
      <c r="E12" s="59" t="s">
        <v>9</v>
      </c>
      <c r="F12" s="60" t="s">
        <v>34</v>
      </c>
      <c r="G12" s="61">
        <v>27</v>
      </c>
      <c r="H12" s="19">
        <v>1</v>
      </c>
      <c r="I12" s="20">
        <v>16</v>
      </c>
      <c r="J12" s="21">
        <v>653</v>
      </c>
      <c r="K12" s="22">
        <v>213</v>
      </c>
      <c r="L12" s="23">
        <f t="shared" si="0"/>
        <v>213</v>
      </c>
      <c r="M12" s="24">
        <f t="shared" si="1"/>
        <v>3.0657276995305165</v>
      </c>
      <c r="N12" s="25">
        <f>86853.81+54964.43+34022.66+23560.33+8123.41+7604.5+3529.5+2609+1898+2251.6+1218+977.5+1040+1455+1095+653</f>
        <v>231855.74</v>
      </c>
      <c r="O12" s="26">
        <f>7232+4293+2509+1779+817+649+331+264+501+432+243+78+73+113+86+213</f>
        <v>19613</v>
      </c>
      <c r="P12" s="27">
        <f t="shared" si="2"/>
        <v>11.821533676643043</v>
      </c>
      <c r="Q12" s="29"/>
      <c r="R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10</v>
      </c>
      <c r="J13" s="21">
        <v>412</v>
      </c>
      <c r="K13" s="22">
        <v>52</v>
      </c>
      <c r="L13" s="23">
        <f t="shared" si="0"/>
        <v>26</v>
      </c>
      <c r="M13" s="24">
        <f t="shared" si="1"/>
        <v>7.9230769230769234</v>
      </c>
      <c r="N13" s="25">
        <f>129506.8+46365.5+5111+2960.5+1288.5+1086.5+622+418+996+412</f>
        <v>188766.8</v>
      </c>
      <c r="O13" s="26">
        <f>12756+4851+538+406+161+135+76+54+109+52</f>
        <v>19138</v>
      </c>
      <c r="P13" s="27">
        <f t="shared" si="2"/>
        <v>9.8634549064688049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67</v>
      </c>
      <c r="D14" s="58">
        <v>42097</v>
      </c>
      <c r="E14" s="59" t="s">
        <v>9</v>
      </c>
      <c r="F14" s="60" t="s">
        <v>9</v>
      </c>
      <c r="G14" s="61">
        <v>23</v>
      </c>
      <c r="H14" s="19">
        <v>1</v>
      </c>
      <c r="I14" s="20">
        <v>6</v>
      </c>
      <c r="J14" s="21">
        <v>384.5</v>
      </c>
      <c r="K14" s="22">
        <v>42</v>
      </c>
      <c r="L14" s="23">
        <f t="shared" si="0"/>
        <v>42</v>
      </c>
      <c r="M14" s="24">
        <f t="shared" si="1"/>
        <v>9.1547619047619051</v>
      </c>
      <c r="N14" s="25">
        <f>153138.55+92932.5+24506.5+5070+473.5+384.5</f>
        <v>276505.55</v>
      </c>
      <c r="O14" s="26">
        <f>11493+6804+2097+245+61+42</f>
        <v>20742</v>
      </c>
      <c r="P14" s="27">
        <f t="shared" si="2"/>
        <v>13.330708224857776</v>
      </c>
      <c r="Q14" s="29"/>
      <c r="R14" s="29"/>
    </row>
    <row r="15" spans="1:19" s="3" customFormat="1" ht="22.5" customHeight="1" x14ac:dyDescent="0.25">
      <c r="B15" s="18">
        <f t="shared" si="3"/>
        <v>10</v>
      </c>
      <c r="C15" s="57" t="s">
        <v>55</v>
      </c>
      <c r="D15" s="58">
        <v>41845</v>
      </c>
      <c r="E15" s="59" t="s">
        <v>9</v>
      </c>
      <c r="F15" s="60" t="s">
        <v>9</v>
      </c>
      <c r="G15" s="61">
        <v>23</v>
      </c>
      <c r="H15" s="19">
        <v>1</v>
      </c>
      <c r="I15" s="20">
        <v>21</v>
      </c>
      <c r="J15" s="21">
        <v>288</v>
      </c>
      <c r="K15" s="22">
        <v>36</v>
      </c>
      <c r="L15" s="23">
        <f t="shared" si="0"/>
        <v>36</v>
      </c>
      <c r="M15" s="24">
        <f t="shared" si="1"/>
        <v>8</v>
      </c>
      <c r="N15" s="25">
        <f>73428.48+65677.81+40435.99+20437+22258.56+12040.44+17815.52+6634+2166+2694+5184+2502+3981+1205+69+696+782+2067.5+665+2013.6+288</f>
        <v>283040.89999999991</v>
      </c>
      <c r="O15" s="26">
        <f>7463+6959+4805+2294+2518+1280+2169+965+358+347+662+324+455+143+13+136+154+177+51+403+36</f>
        <v>31712</v>
      </c>
      <c r="P15" s="27">
        <f t="shared" si="2"/>
        <v>8.9253563319878886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28</v>
      </c>
      <c r="J16" s="21">
        <v>285</v>
      </c>
      <c r="K16" s="22">
        <v>36</v>
      </c>
      <c r="L16" s="23">
        <f t="shared" si="0"/>
        <v>36</v>
      </c>
      <c r="M16" s="24">
        <f t="shared" si="1"/>
        <v>7.916666666666667</v>
      </c>
      <c r="N16" s="25">
        <f>166393.25+120953.88+26778.83+15413.16+8141+9655+7141+22668+12148+7305+4200+124+102+212+223+1619+804+2201+992+1988+3344+6211+2046.8+2141.5+1165.4+242+120+285</f>
        <v>424617.82</v>
      </c>
      <c r="O16" s="26">
        <f>16398+11920+2425+1471+815+935+859+2615+1401+831+549+16+14+27+29+174+87+240+98+249+365+643+408+205+207+35+17+36</f>
        <v>43069</v>
      </c>
      <c r="P16" s="27">
        <f t="shared" si="2"/>
        <v>9.8590127469873927</v>
      </c>
      <c r="Q16" s="29"/>
      <c r="R16" s="29"/>
    </row>
    <row r="17" spans="2:19" s="3" customFormat="1" ht="22.5" customHeight="1" x14ac:dyDescent="0.25">
      <c r="B17" s="18">
        <f t="shared" si="3"/>
        <v>12</v>
      </c>
      <c r="C17" s="57" t="s">
        <v>50</v>
      </c>
      <c r="D17" s="58">
        <v>41796</v>
      </c>
      <c r="E17" s="59" t="s">
        <v>9</v>
      </c>
      <c r="F17" s="60" t="s">
        <v>9</v>
      </c>
      <c r="G17" s="61">
        <v>22</v>
      </c>
      <c r="H17" s="19">
        <v>1</v>
      </c>
      <c r="I17" s="20">
        <v>30</v>
      </c>
      <c r="J17" s="21">
        <v>272</v>
      </c>
      <c r="K17" s="22">
        <v>34</v>
      </c>
      <c r="L17" s="23">
        <f t="shared" si="0"/>
        <v>34</v>
      </c>
      <c r="M17" s="24">
        <f t="shared" si="1"/>
        <v>8</v>
      </c>
      <c r="N17" s="25">
        <f>166025.28+97326.52+57686.96+13701.5+11079.5+6936+18694.5+12272.5+7080.5+9304+8779+4785.44+5102.63+3908.66+4837+3724+3492+9632.5+4839+5360.5+615.5+83+1425.6+1525+121+1722.5+1737.5+1635+2287.5+272</f>
        <v>465992.58999999997</v>
      </c>
      <c r="O17" s="26">
        <f>15114+9515+5786+1430+1181+648+1199+1400+830+999+900+603+561+474+557+436+370+1189+567+607+105+10+285+117+12+138+141+137+196+34</f>
        <v>45541</v>
      </c>
      <c r="P17" s="27">
        <f t="shared" si="2"/>
        <v>10.232375002744778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60</v>
      </c>
      <c r="D18" s="58">
        <v>41992</v>
      </c>
      <c r="E18" s="59" t="s">
        <v>9</v>
      </c>
      <c r="F18" s="60" t="s">
        <v>9</v>
      </c>
      <c r="G18" s="61">
        <v>6</v>
      </c>
      <c r="H18" s="19">
        <v>1</v>
      </c>
      <c r="I18" s="20">
        <v>4</v>
      </c>
      <c r="J18" s="21">
        <v>156</v>
      </c>
      <c r="K18" s="22">
        <v>24</v>
      </c>
      <c r="L18" s="23">
        <f t="shared" si="0"/>
        <v>24</v>
      </c>
      <c r="M18" s="24">
        <f t="shared" si="1"/>
        <v>6.5</v>
      </c>
      <c r="N18" s="25">
        <f>45564.5+23933.1+2013.6+156</f>
        <v>71667.200000000012</v>
      </c>
      <c r="O18" s="26">
        <f>2950+1385+403+24</f>
        <v>4762</v>
      </c>
      <c r="P18" s="27">
        <f t="shared" si="2"/>
        <v>15.049811003779928</v>
      </c>
      <c r="Q18" s="29"/>
      <c r="R18" s="29"/>
      <c r="S18" s="29"/>
    </row>
    <row r="19" spans="2:19" s="3" customFormat="1" ht="22.5" customHeight="1" thickBot="1" x14ac:dyDescent="0.3">
      <c r="B19" s="80">
        <f t="shared" si="3"/>
        <v>14</v>
      </c>
      <c r="C19" s="36" t="s">
        <v>37</v>
      </c>
      <c r="D19" s="37">
        <v>42027</v>
      </c>
      <c r="E19" s="38" t="s">
        <v>9</v>
      </c>
      <c r="F19" s="39" t="s">
        <v>9</v>
      </c>
      <c r="G19" s="40">
        <v>64</v>
      </c>
      <c r="H19" s="30">
        <v>1</v>
      </c>
      <c r="I19" s="31">
        <v>16</v>
      </c>
      <c r="J19" s="32">
        <v>72</v>
      </c>
      <c r="K19" s="33">
        <v>10</v>
      </c>
      <c r="L19" s="41">
        <f t="shared" si="0"/>
        <v>10</v>
      </c>
      <c r="M19" s="42">
        <f t="shared" si="1"/>
        <v>7.2</v>
      </c>
      <c r="N19" s="34">
        <f>4241+362258.96+222136.17+49398.98+7963+5272.5+3175+2140+739+469+91+2372+2393+1550+1155+2464+72</f>
        <v>667890.61</v>
      </c>
      <c r="O19" s="35">
        <f>748+36807+24128+5499+982+687+504+269+97+64+13+438+360+285+253+487+10</f>
        <v>71631</v>
      </c>
      <c r="P19" s="43">
        <f t="shared" si="2"/>
        <v>9.3240441987407685</v>
      </c>
      <c r="Q19" s="29"/>
      <c r="R19" s="29"/>
      <c r="S19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24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25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76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77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78</v>
      </c>
      <c r="D6" s="45">
        <v>42125</v>
      </c>
      <c r="E6" s="46" t="s">
        <v>9</v>
      </c>
      <c r="F6" s="47" t="s">
        <v>29</v>
      </c>
      <c r="G6" s="48">
        <v>13</v>
      </c>
      <c r="H6" s="49">
        <v>35</v>
      </c>
      <c r="I6" s="50">
        <v>1</v>
      </c>
      <c r="J6" s="53">
        <v>70884.800000000003</v>
      </c>
      <c r="K6" s="16">
        <v>5480</v>
      </c>
      <c r="L6" s="51">
        <f t="shared" ref="L6" si="0">K6/H6</f>
        <v>156.57142857142858</v>
      </c>
      <c r="M6" s="52">
        <f t="shared" ref="M6" si="1">+J6/K6</f>
        <v>12.935182481751825</v>
      </c>
      <c r="N6" s="54">
        <f>70884.8</f>
        <v>70884.800000000003</v>
      </c>
      <c r="O6" s="55">
        <f>5480</f>
        <v>5480</v>
      </c>
      <c r="P6" s="56">
        <f t="shared" ref="P6" si="2">N6/O6</f>
        <v>12.935182481751825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75</v>
      </c>
      <c r="D7" s="58">
        <v>42118</v>
      </c>
      <c r="E7" s="59" t="s">
        <v>9</v>
      </c>
      <c r="F7" s="60" t="s">
        <v>9</v>
      </c>
      <c r="G7" s="61">
        <v>13</v>
      </c>
      <c r="H7" s="19">
        <v>24</v>
      </c>
      <c r="I7" s="20">
        <v>2</v>
      </c>
      <c r="J7" s="21">
        <v>50675.11</v>
      </c>
      <c r="K7" s="22">
        <v>3585</v>
      </c>
      <c r="L7" s="23">
        <f t="shared" ref="L7:L13" si="4">K7/H7</f>
        <v>149.375</v>
      </c>
      <c r="M7" s="24">
        <f t="shared" ref="M7:M13" si="5">+J7/K7</f>
        <v>14.135316596931659</v>
      </c>
      <c r="N7" s="25">
        <f>119411.9+50675.11</f>
        <v>170087.01</v>
      </c>
      <c r="O7" s="26">
        <f>9544+3585</f>
        <v>13129</v>
      </c>
      <c r="P7" s="27">
        <f t="shared" ref="P7:P13" si="6">N7/O7</f>
        <v>12.955062076319599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4</v>
      </c>
      <c r="I8" s="20">
        <v>24</v>
      </c>
      <c r="J8" s="21">
        <v>3681</v>
      </c>
      <c r="K8" s="22">
        <v>595</v>
      </c>
      <c r="L8" s="23">
        <f>K8/H8</f>
        <v>148.75</v>
      </c>
      <c r="M8" s="24">
        <f>+J8/K8</f>
        <v>6.1865546218487397</v>
      </c>
      <c r="N8" s="25">
        <f>1099708.11+593370.74+224185+52839.5+17039.5+9578+7414+5098+4983.5+10660.5+14194.5+2400+3550+2380.5+7656.5+4091.5+1713+2737+828+128+4019.35+696+742+3681</f>
        <v>2073694.2000000002</v>
      </c>
      <c r="O8" s="26">
        <f>102148+56106+22339+5539+1692+934+809+597+525+1619+1502+226+582+302+1163+486+470+558+154+16+730+93+96+595</f>
        <v>199281</v>
      </c>
      <c r="P8" s="27">
        <f>N8/O8</f>
        <v>10.405880139100066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2</v>
      </c>
      <c r="I9" s="20">
        <v>15</v>
      </c>
      <c r="J9" s="21">
        <v>2464</v>
      </c>
      <c r="K9" s="22">
        <v>487</v>
      </c>
      <c r="L9" s="23">
        <f>K9/H9</f>
        <v>243.5</v>
      </c>
      <c r="M9" s="24">
        <f>+J9/K9</f>
        <v>5.0595482546201236</v>
      </c>
      <c r="N9" s="25">
        <f>4241+362258.96+222136.17+49398.98+7963+5272.5+3175+2140+739+469+91+2372+2393+1550+1155+2464</f>
        <v>667818.61</v>
      </c>
      <c r="O9" s="26">
        <f>748+36807+24128+5499+982+687+504+269+97+64+13+438+360+285+253+487</f>
        <v>71621</v>
      </c>
      <c r="P9" s="27">
        <f>N9/O9</f>
        <v>9.3243407659764586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79">
        <v>3</v>
      </c>
      <c r="I10" s="20">
        <v>8</v>
      </c>
      <c r="J10" s="71">
        <v>1896</v>
      </c>
      <c r="K10" s="72">
        <v>210</v>
      </c>
      <c r="L10" s="23">
        <f>K10/H10</f>
        <v>70</v>
      </c>
      <c r="M10" s="24">
        <f>+J10/K10</f>
        <v>9.0285714285714285</v>
      </c>
      <c r="N10" s="73">
        <f>371891.95+241999.75+69894+20187.87+18724.1+22951.5+4635.5+1896</f>
        <v>752180.66999999993</v>
      </c>
      <c r="O10" s="74">
        <f>33703+24038+8305+2721+2351+2413+517+210</f>
        <v>74258</v>
      </c>
      <c r="P10" s="27">
        <f>N10/O10</f>
        <v>10.129288022839289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21</v>
      </c>
      <c r="D11" s="58">
        <v>41915</v>
      </c>
      <c r="E11" s="59" t="s">
        <v>9</v>
      </c>
      <c r="F11" s="60" t="s">
        <v>20</v>
      </c>
      <c r="G11" s="61">
        <v>52</v>
      </c>
      <c r="H11" s="19">
        <v>1</v>
      </c>
      <c r="I11" s="20">
        <v>16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917082.76+408148.93+229733.98+293566.8+49586.5+3383+1551.5+689+116+162+2648+22.5+69+592+2376+950.4</f>
        <v>1910678.3699999999</v>
      </c>
      <c r="O11" s="26">
        <f>78453+36692+20370+24581+3906+438+199+89+14+20+350+3+10+75+475+190</f>
        <v>165865</v>
      </c>
      <c r="P11" s="27">
        <f>N11/O11</f>
        <v>11.519478913574291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67</v>
      </c>
      <c r="D12" s="58">
        <v>42097</v>
      </c>
      <c r="E12" s="59" t="s">
        <v>9</v>
      </c>
      <c r="F12" s="60" t="s">
        <v>9</v>
      </c>
      <c r="G12" s="61">
        <v>23</v>
      </c>
      <c r="H12" s="19">
        <v>1</v>
      </c>
      <c r="I12" s="20">
        <v>5</v>
      </c>
      <c r="J12" s="21">
        <v>473.5</v>
      </c>
      <c r="K12" s="22">
        <v>61</v>
      </c>
      <c r="L12" s="23">
        <f t="shared" si="4"/>
        <v>61</v>
      </c>
      <c r="M12" s="24">
        <f t="shared" si="5"/>
        <v>7.7622950819672134</v>
      </c>
      <c r="N12" s="25">
        <f>153138.55+92932.5+24506.5+5070+473.5</f>
        <v>276121.05</v>
      </c>
      <c r="O12" s="26">
        <f>11493+6804+2097+245+61</f>
        <v>20700</v>
      </c>
      <c r="P12" s="27">
        <f t="shared" si="6"/>
        <v>13.339181159420288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30</v>
      </c>
      <c r="D13" s="58">
        <v>41782</v>
      </c>
      <c r="E13" s="59" t="s">
        <v>9</v>
      </c>
      <c r="F13" s="60" t="s">
        <v>9</v>
      </c>
      <c r="G13" s="61">
        <v>30</v>
      </c>
      <c r="H13" s="19">
        <v>1</v>
      </c>
      <c r="I13" s="20">
        <v>26</v>
      </c>
      <c r="J13" s="21">
        <v>449</v>
      </c>
      <c r="K13" s="22">
        <v>74</v>
      </c>
      <c r="L13" s="23">
        <f t="shared" si="4"/>
        <v>74</v>
      </c>
      <c r="M13" s="24">
        <f t="shared" si="5"/>
        <v>6.0675675675675675</v>
      </c>
      <c r="N13" s="25">
        <f>95967.35+76227.39+34644.5+27256+29590.5+12797.63+9801.17+8948.5+7152.5+16352.94+12150.29+7448.1+8486.06+7400.64+5579.56+3486.52+760+1010+454+162+694+385+790+774+950.4+449</f>
        <v>369718.05</v>
      </c>
      <c r="O13" s="26">
        <f>9552+7384+3615+3071+3349+1439+1120+971+812+1886+1381+880+989+926+692+485+91+116+49+24+62+55+154+96+190+74</f>
        <v>39463</v>
      </c>
      <c r="P13" s="27">
        <f t="shared" si="6"/>
        <v>9.3687264019461267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27</v>
      </c>
      <c r="J14" s="64">
        <v>120</v>
      </c>
      <c r="K14" s="65">
        <v>17</v>
      </c>
      <c r="L14" s="66">
        <f>K14/H14</f>
        <v>17</v>
      </c>
      <c r="M14" s="67">
        <f>+J14/K14</f>
        <v>7.0588235294117645</v>
      </c>
      <c r="N14" s="68">
        <f>166393.25+120953.88+26778.83+15413.16+8141+9655+7141+22668+12148+7305+4200+124+102+212+223+1619+804+2201+992+1988+3344+6211+2046.8+2141.5+1165.4+242+120</f>
        <v>424332.82</v>
      </c>
      <c r="O14" s="69">
        <f>16398+11920+2425+1471+815+935+859+2615+1401+831+549+16+14+27+29+174+87+240+98+249+365+643+408+205+207+35+17</f>
        <v>43033</v>
      </c>
      <c r="P14" s="70">
        <f>N14/O14</f>
        <v>9.8606376501754465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73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74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75</v>
      </c>
      <c r="D6" s="45">
        <v>42118</v>
      </c>
      <c r="E6" s="46" t="s">
        <v>9</v>
      </c>
      <c r="F6" s="47" t="s">
        <v>9</v>
      </c>
      <c r="G6" s="48">
        <v>13</v>
      </c>
      <c r="H6" s="49">
        <v>40</v>
      </c>
      <c r="I6" s="50">
        <v>1</v>
      </c>
      <c r="J6" s="53">
        <v>119411.90000000001</v>
      </c>
      <c r="K6" s="16">
        <v>9544</v>
      </c>
      <c r="L6" s="51">
        <f t="shared" ref="L6" si="0">K6/H6</f>
        <v>238.6</v>
      </c>
      <c r="M6" s="52">
        <f t="shared" ref="M6" si="1">+J6/K6</f>
        <v>12.51172464375524</v>
      </c>
      <c r="N6" s="54">
        <f>119411.9</f>
        <v>119411.9</v>
      </c>
      <c r="O6" s="55">
        <f>9544</f>
        <v>9544</v>
      </c>
      <c r="P6" s="56">
        <f t="shared" ref="P6" si="2">N6/O6</f>
        <v>12.511724643755239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67</v>
      </c>
      <c r="D7" s="58">
        <v>42097</v>
      </c>
      <c r="E7" s="59" t="s">
        <v>9</v>
      </c>
      <c r="F7" s="60" t="s">
        <v>9</v>
      </c>
      <c r="G7" s="61">
        <v>23</v>
      </c>
      <c r="H7" s="19">
        <v>3</v>
      </c>
      <c r="I7" s="20">
        <v>4</v>
      </c>
      <c r="J7" s="21">
        <v>5070</v>
      </c>
      <c r="K7" s="22">
        <v>245</v>
      </c>
      <c r="L7" s="23">
        <f t="shared" ref="L7:L9" si="4">K7/H7</f>
        <v>81.666666666666671</v>
      </c>
      <c r="M7" s="24">
        <f t="shared" ref="M7:M9" si="5">+J7/K7</f>
        <v>20.693877551020407</v>
      </c>
      <c r="N7" s="25">
        <f>153138.55+92932.5+24506.5+5070</f>
        <v>275647.55</v>
      </c>
      <c r="O7" s="26">
        <f>11493+6804+2097+245</f>
        <v>20639</v>
      </c>
      <c r="P7" s="27">
        <f t="shared" ref="P7:P9" si="6">N7/O7</f>
        <v>13.355664034110179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9</v>
      </c>
      <c r="I8" s="20">
        <v>7</v>
      </c>
      <c r="J8" s="21">
        <v>4635.5</v>
      </c>
      <c r="K8" s="22">
        <v>517</v>
      </c>
      <c r="L8" s="23">
        <f>K8/H8</f>
        <v>57.444444444444443</v>
      </c>
      <c r="M8" s="24">
        <f>+J8/K8</f>
        <v>8.9661508704061887</v>
      </c>
      <c r="N8" s="25">
        <f>371891.95+241999.75+69894+20187.87+18724.1+22951.5+4635.5</f>
        <v>750284.66999999993</v>
      </c>
      <c r="O8" s="26">
        <f>33703+24038+8305+2721+2351+2413+517</f>
        <v>74048</v>
      </c>
      <c r="P8" s="27">
        <f>N8/O8</f>
        <v>10.132409653197925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4</v>
      </c>
      <c r="I9" s="20">
        <v>3</v>
      </c>
      <c r="J9" s="21">
        <v>2017.5</v>
      </c>
      <c r="K9" s="22">
        <v>226</v>
      </c>
      <c r="L9" s="23">
        <f t="shared" si="4"/>
        <v>56.5</v>
      </c>
      <c r="M9" s="24">
        <f t="shared" si="5"/>
        <v>8.9269911504424773</v>
      </c>
      <c r="N9" s="25">
        <f>84987.77+10982.5+2017.5</f>
        <v>97987.77</v>
      </c>
      <c r="O9" s="26">
        <f>7931+982+226</f>
        <v>9139</v>
      </c>
      <c r="P9" s="27">
        <f t="shared" si="6"/>
        <v>10.721935660356714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6</v>
      </c>
      <c r="J10" s="21">
        <v>2013.56</v>
      </c>
      <c r="K10" s="22">
        <v>403</v>
      </c>
      <c r="L10" s="23">
        <f t="shared" ref="L10" si="7">K10/H10</f>
        <v>403</v>
      </c>
      <c r="M10" s="24">
        <f t="shared" ref="M10" si="8">+J10/K10</f>
        <v>4.9964267990074438</v>
      </c>
      <c r="N10" s="25">
        <f>217416+133447+36039+7196+5028+2013.56</f>
        <v>401139.56</v>
      </c>
      <c r="O10" s="26">
        <f>15610+9137+2226+1626+1055+403</f>
        <v>30057</v>
      </c>
      <c r="P10" s="27">
        <f t="shared" ref="P10" si="9">N10/O10</f>
        <v>13.345961340120438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3</v>
      </c>
      <c r="I11" s="20">
        <v>14</v>
      </c>
      <c r="J11" s="21">
        <v>1155</v>
      </c>
      <c r="K11" s="22">
        <v>253</v>
      </c>
      <c r="L11" s="23">
        <f>K11/H11</f>
        <v>84.333333333333329</v>
      </c>
      <c r="M11" s="24">
        <f>+J11/K11</f>
        <v>4.5652173913043477</v>
      </c>
      <c r="N11" s="25">
        <f>4241+362258.96+222136.17+49398.98+7963+5272.5+3175+2140+739+469+91+2372+2393+1550+1155</f>
        <v>665354.61</v>
      </c>
      <c r="O11" s="26">
        <f>748+36807+24128+5499+982+687+504+269+97+64+13+438+360+285+253</f>
        <v>71134</v>
      </c>
      <c r="P11" s="27">
        <f>N11/O11</f>
        <v>9.3535385329097203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1</v>
      </c>
      <c r="I12" s="20">
        <v>9</v>
      </c>
      <c r="J12" s="21">
        <v>996</v>
      </c>
      <c r="K12" s="22">
        <v>109</v>
      </c>
      <c r="L12" s="23">
        <f>K12/H12</f>
        <v>109</v>
      </c>
      <c r="M12" s="24">
        <f>+J12/K12</f>
        <v>9.137614678899082</v>
      </c>
      <c r="N12" s="25">
        <f>129506.8+46365.5+5111+2960.5+1288.5+1086.5+622+418+996</f>
        <v>188354.8</v>
      </c>
      <c r="O12" s="26">
        <f>12756+4851+538+406+161+135+76+54+109</f>
        <v>19086</v>
      </c>
      <c r="P12" s="27">
        <f>N12/O12</f>
        <v>9.8687414859058986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2</v>
      </c>
      <c r="I13" s="20">
        <v>23</v>
      </c>
      <c r="J13" s="21">
        <v>742</v>
      </c>
      <c r="K13" s="22">
        <v>96</v>
      </c>
      <c r="L13" s="23">
        <f>K13/H13</f>
        <v>48</v>
      </c>
      <c r="M13" s="24">
        <f>+J13/K13</f>
        <v>7.729166666666667</v>
      </c>
      <c r="N13" s="25">
        <f>1099708.11+593370.74+224185+52839.5+17039.5+9578+7414+5098+4983.5+10660.5+14194.5+2400+3550+2380.5+7656.5+4091.5+1713+2737+828+128+4019.35+696+742</f>
        <v>2070013.2000000002</v>
      </c>
      <c r="O13" s="26">
        <f>102148+56106+22339+5539+1692+934+809+597+525+1619+1502+226+582+302+1163+486+470+558+154+16+730+93+96</f>
        <v>198686</v>
      </c>
      <c r="P13" s="27">
        <f>N13/O13</f>
        <v>10.418515647806087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26</v>
      </c>
      <c r="J14" s="64">
        <v>242</v>
      </c>
      <c r="K14" s="65">
        <v>35</v>
      </c>
      <c r="L14" s="66">
        <f>K14/H14</f>
        <v>35</v>
      </c>
      <c r="M14" s="67">
        <f>+J14/K14</f>
        <v>6.9142857142857146</v>
      </c>
      <c r="N14" s="68">
        <f>166393.25+120953.88+26778.83+15413.16+8141+9655+7141+22668+12148+7305+4200+124+102+212+223+1619+804+2201+992+1988+3344+6211+2046.8+2141.5+1165.4+242</f>
        <v>424212.82</v>
      </c>
      <c r="O14" s="69">
        <f>16398+11920+2425+1471+815+935+859+2615+1401+831+549+16+14+27+29+174+87+240+98+249+365+643+408+205+207+35</f>
        <v>43016</v>
      </c>
      <c r="P14" s="70">
        <f>N14/O14</f>
        <v>9.8617449321182811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12</v>
      </c>
      <c r="I6" s="50">
        <v>3</v>
      </c>
      <c r="J6" s="75">
        <v>24506.5</v>
      </c>
      <c r="K6" s="16">
        <v>2097</v>
      </c>
      <c r="L6" s="51">
        <f t="shared" ref="L6:L8" si="1">K6/H6</f>
        <v>174.75</v>
      </c>
      <c r="M6" s="52">
        <f t="shared" ref="M6:M8" si="2">+J6/K6</f>
        <v>11.686456843109204</v>
      </c>
      <c r="N6" s="77">
        <f>153138.55+92932.5+24506.5</f>
        <v>270577.55</v>
      </c>
      <c r="O6" s="55">
        <f>11493+6804+2097</f>
        <v>20394</v>
      </c>
      <c r="P6" s="56">
        <f t="shared" ref="P6:P8" si="3">N6/O6</f>
        <v>13.267507600274589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23</v>
      </c>
      <c r="I7" s="20">
        <v>6</v>
      </c>
      <c r="J7" s="71">
        <v>22951.5</v>
      </c>
      <c r="K7" s="22">
        <v>2413</v>
      </c>
      <c r="L7" s="23">
        <f>K7/H7</f>
        <v>104.91304347826087</v>
      </c>
      <c r="M7" s="24">
        <f>+J7/K7</f>
        <v>9.5116038126813098</v>
      </c>
      <c r="N7" s="73">
        <f>371891.95+241999.75+69894+20187.87+18724.1+22951.5</f>
        <v>745649.16999999993</v>
      </c>
      <c r="O7" s="26">
        <f>33703+24038+8305+2721+2351+2413</f>
        <v>73531</v>
      </c>
      <c r="P7" s="27">
        <f>N7/O7</f>
        <v>10.140609674831023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70</v>
      </c>
      <c r="D8" s="58">
        <v>42104</v>
      </c>
      <c r="E8" s="59" t="s">
        <v>9</v>
      </c>
      <c r="F8" s="60" t="s">
        <v>9</v>
      </c>
      <c r="G8" s="61">
        <v>24</v>
      </c>
      <c r="H8" s="19">
        <v>12</v>
      </c>
      <c r="I8" s="20">
        <v>2</v>
      </c>
      <c r="J8" s="71">
        <v>10982.5</v>
      </c>
      <c r="K8" s="72">
        <v>982</v>
      </c>
      <c r="L8" s="23">
        <f t="shared" si="1"/>
        <v>81.833333333333329</v>
      </c>
      <c r="M8" s="24">
        <f t="shared" si="2"/>
        <v>11.183808553971486</v>
      </c>
      <c r="N8" s="73">
        <f>84987.77+10982.5</f>
        <v>95970.27</v>
      </c>
      <c r="O8" s="74">
        <f>7931+982</f>
        <v>8913</v>
      </c>
      <c r="P8" s="27">
        <f t="shared" si="3"/>
        <v>10.76744867048132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3</v>
      </c>
      <c r="I9" s="20">
        <v>13</v>
      </c>
      <c r="J9" s="21">
        <v>1550</v>
      </c>
      <c r="K9" s="22">
        <v>285</v>
      </c>
      <c r="L9" s="23">
        <f>K9/H9</f>
        <v>95</v>
      </c>
      <c r="M9" s="24">
        <f>+J9/K9</f>
        <v>5.4385964912280702</v>
      </c>
      <c r="N9" s="25">
        <f>4241+362258.96+222136.17+49398.98+7963+5272.5+3175+2140+739+469+91+2372+2393+1550</f>
        <v>664199.61</v>
      </c>
      <c r="O9" s="26">
        <f>748+36807+24128+5499+982+687+504+269+97+64+13+438+360+285</f>
        <v>70881</v>
      </c>
      <c r="P9" s="27">
        <f>N9/O9</f>
        <v>9.3706297879544582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22</v>
      </c>
      <c r="J10" s="64">
        <v>696</v>
      </c>
      <c r="K10" s="65">
        <v>93</v>
      </c>
      <c r="L10" s="66">
        <f>K10/H10</f>
        <v>93</v>
      </c>
      <c r="M10" s="67">
        <f>+J10/K10</f>
        <v>7.4838709677419351</v>
      </c>
      <c r="N10" s="68">
        <f>1099708.11+593370.74+224185+52839.5+17039.5+9578+7414+5098+4983.5+10660.5+14194.5+2400+3550+2380.5+7656.5+4091.5+1713+2737+828+128+4019.35+696</f>
        <v>2069271.2000000002</v>
      </c>
      <c r="O10" s="69">
        <f>102148+56106+22339+5539+1692+934+809+597+525+1619+1502+226+582+302+1163+486+470+558+154+16+730+93</f>
        <v>198590</v>
      </c>
      <c r="P10" s="70">
        <f>N10/O10</f>
        <v>10.419815700689865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37</v>
      </c>
      <c r="I6" s="50">
        <v>2</v>
      </c>
      <c r="J6" s="53">
        <v>92932.5</v>
      </c>
      <c r="K6" s="16">
        <v>6804</v>
      </c>
      <c r="L6" s="51">
        <f t="shared" ref="L6" si="1">K6/H6</f>
        <v>183.8918918918919</v>
      </c>
      <c r="M6" s="52">
        <f t="shared" ref="M6" si="2">+J6/K6</f>
        <v>13.658509700176367</v>
      </c>
      <c r="N6" s="54">
        <f>153138.55+92932.5</f>
        <v>246071.05</v>
      </c>
      <c r="O6" s="55">
        <f>11493+6804</f>
        <v>18297</v>
      </c>
      <c r="P6" s="56">
        <f t="shared" ref="P6" si="3">N6/O6</f>
        <v>13.448710171066294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70</v>
      </c>
      <c r="D7" s="58">
        <v>42104</v>
      </c>
      <c r="E7" s="59" t="s">
        <v>9</v>
      </c>
      <c r="F7" s="60" t="s">
        <v>9</v>
      </c>
      <c r="G7" s="61">
        <v>24</v>
      </c>
      <c r="H7" s="19">
        <v>47</v>
      </c>
      <c r="I7" s="20">
        <v>1</v>
      </c>
      <c r="J7" s="21">
        <v>84987.77</v>
      </c>
      <c r="K7" s="22">
        <v>7931</v>
      </c>
      <c r="L7" s="23">
        <f t="shared" ref="L7:L8" si="4">K7/H7</f>
        <v>168.74468085106383</v>
      </c>
      <c r="M7" s="24">
        <f t="shared" ref="M7:M8" si="5">+J7/K7</f>
        <v>10.715895851721095</v>
      </c>
      <c r="N7" s="25">
        <f>84987.77</f>
        <v>84987.77</v>
      </c>
      <c r="O7" s="26">
        <f>7931</f>
        <v>7931</v>
      </c>
      <c r="P7" s="27">
        <f t="shared" ref="P7:P8" si="6">N7/O7</f>
        <v>10.715895851721095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31</v>
      </c>
      <c r="I8" s="20">
        <v>5</v>
      </c>
      <c r="J8" s="21">
        <v>18724.099999999999</v>
      </c>
      <c r="K8" s="22">
        <v>2351</v>
      </c>
      <c r="L8" s="23">
        <f t="shared" si="4"/>
        <v>75.838709677419359</v>
      </c>
      <c r="M8" s="24">
        <f t="shared" si="5"/>
        <v>7.964313058273075</v>
      </c>
      <c r="N8" s="25">
        <f>371891.95+241999.75+69894+20187.87+18724.1</f>
        <v>722697.66999999993</v>
      </c>
      <c r="O8" s="26">
        <f>33703+24038+8305+2721+2351</f>
        <v>71118</v>
      </c>
      <c r="P8" s="27">
        <f t="shared" si="6"/>
        <v>10.161951545319047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21</v>
      </c>
      <c r="J9" s="21">
        <v>4019.35</v>
      </c>
      <c r="K9" s="22">
        <v>730</v>
      </c>
      <c r="L9" s="23">
        <f>K9/H9</f>
        <v>365</v>
      </c>
      <c r="M9" s="24">
        <f>+J9/K9</f>
        <v>5.5059589041095887</v>
      </c>
      <c r="N9" s="25">
        <f>1099708.11+593370.74+224185+52839.5+17039.5+9578+7414+5098+4983.5+10660.5+14194.5+2400+3550+2380.5+7656.5+4091.5+1713+2737+828+128+4019.35</f>
        <v>2068575.2000000002</v>
      </c>
      <c r="O9" s="26">
        <f>102148+56106+22339+5539+1692+934+809+597+525+1619+1502+226+582+302+1163+486+470+558+154+16+730</f>
        <v>198497</v>
      </c>
      <c r="P9" s="27">
        <f>N9/O9</f>
        <v>10.421191252260741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37</v>
      </c>
      <c r="D10" s="37">
        <v>42027</v>
      </c>
      <c r="E10" s="38" t="s">
        <v>9</v>
      </c>
      <c r="F10" s="39" t="s">
        <v>9</v>
      </c>
      <c r="G10" s="40">
        <v>64</v>
      </c>
      <c r="H10" s="62">
        <v>3</v>
      </c>
      <c r="I10" s="63">
        <v>12</v>
      </c>
      <c r="J10" s="64">
        <v>2393</v>
      </c>
      <c r="K10" s="65">
        <v>360</v>
      </c>
      <c r="L10" s="66">
        <f>K10/H10</f>
        <v>120</v>
      </c>
      <c r="M10" s="67">
        <f>+J10/K10</f>
        <v>6.6472222222222221</v>
      </c>
      <c r="N10" s="68">
        <f>4241+362258.96+222136.17+49398.98+7963+5272.5+3175+2140+739+469+91+2372+2393</f>
        <v>662649.61</v>
      </c>
      <c r="O10" s="69">
        <f>748+36807+24128+5499+982+687+504+269+97+64+13+438+360</f>
        <v>70596</v>
      </c>
      <c r="P10" s="70">
        <f>N10/O10</f>
        <v>9.3865036262677766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65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66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54</v>
      </c>
      <c r="I6" s="50">
        <v>1</v>
      </c>
      <c r="J6" s="53">
        <v>153138.54999999999</v>
      </c>
      <c r="K6" s="16">
        <v>11493</v>
      </c>
      <c r="L6" s="51">
        <f t="shared" ref="L6" si="0">K6/H6</f>
        <v>212.83333333333334</v>
      </c>
      <c r="M6" s="52">
        <f t="shared" ref="M6" si="1">+J6/K6</f>
        <v>13.324506221178108</v>
      </c>
      <c r="N6" s="54">
        <f>153138.55</f>
        <v>153138.54999999999</v>
      </c>
      <c r="O6" s="55">
        <f>11493</f>
        <v>11493</v>
      </c>
      <c r="P6" s="56">
        <f t="shared" ref="P6" si="2">N6/O6</f>
        <v>13.324506221178108</v>
      </c>
      <c r="Q6" s="29"/>
      <c r="R6" s="29"/>
    </row>
    <row r="7" spans="1:18" s="3" customFormat="1" ht="22.5" customHeight="1" x14ac:dyDescent="0.25">
      <c r="B7" s="18">
        <f t="shared" ref="B7:B10" si="3">B6+1</f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41</v>
      </c>
      <c r="I7" s="20">
        <v>4</v>
      </c>
      <c r="J7" s="21">
        <v>20187.87</v>
      </c>
      <c r="K7" s="22">
        <v>2721</v>
      </c>
      <c r="L7" s="23">
        <f t="shared" ref="L7" si="4">K7/H7</f>
        <v>66.365853658536579</v>
      </c>
      <c r="M7" s="24">
        <f t="shared" ref="M7" si="5">+J7/K7</f>
        <v>7.4192833517089305</v>
      </c>
      <c r="N7" s="25">
        <f>371891.95+241999.75+69894+20187.87</f>
        <v>703973.57</v>
      </c>
      <c r="O7" s="26">
        <f>33703+24038+8305+2721</f>
        <v>68767</v>
      </c>
      <c r="P7" s="27">
        <f t="shared" ref="P7" si="6">N7/O7</f>
        <v>10.237084211903964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3</v>
      </c>
      <c r="I8" s="20">
        <v>11</v>
      </c>
      <c r="J8" s="21">
        <v>2372</v>
      </c>
      <c r="K8" s="22">
        <v>438</v>
      </c>
      <c r="L8" s="23">
        <f>K8/H8</f>
        <v>146</v>
      </c>
      <c r="M8" s="24">
        <f>+J8/K8</f>
        <v>5.4155251141552512</v>
      </c>
      <c r="N8" s="25">
        <f>4241+362258.96+222136.17+49398.98+7963+5272.5+3175+2140+739+469+91+2372</f>
        <v>660256.61</v>
      </c>
      <c r="O8" s="26">
        <f>748+36807+24128+5499+982+687+504+269+97+64+13+438</f>
        <v>70236</v>
      </c>
      <c r="P8" s="27">
        <f>N8/O8</f>
        <v>9.400544023008143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46</v>
      </c>
      <c r="D9" s="58">
        <v>42048</v>
      </c>
      <c r="E9" s="59" t="s">
        <v>9</v>
      </c>
      <c r="F9" s="60" t="s">
        <v>47</v>
      </c>
      <c r="G9" s="61">
        <v>41</v>
      </c>
      <c r="H9" s="19">
        <v>1</v>
      </c>
      <c r="I9" s="20">
        <v>8</v>
      </c>
      <c r="J9" s="21">
        <v>418</v>
      </c>
      <c r="K9" s="22">
        <v>54</v>
      </c>
      <c r="L9" s="23">
        <f>K9/H9</f>
        <v>54</v>
      </c>
      <c r="M9" s="24">
        <f>+J9/K9</f>
        <v>7.7407407407407405</v>
      </c>
      <c r="N9" s="25">
        <f>129506.8+46365.5+5111+2960.5+1288.5+1086.5+622+418</f>
        <v>187358.8</v>
      </c>
      <c r="O9" s="26">
        <f>12756+4851+538+406+161+135+76+54</f>
        <v>18977</v>
      </c>
      <c r="P9" s="27">
        <f>N9/O9</f>
        <v>9.872940928492385</v>
      </c>
      <c r="Q9" s="29"/>
      <c r="R9" s="29"/>
    </row>
    <row r="10" spans="1:18" s="3" customFormat="1" ht="22.5" customHeight="1" thickBot="1" x14ac:dyDescent="0.3">
      <c r="B10" s="4">
        <f t="shared" si="3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20</v>
      </c>
      <c r="J10" s="64">
        <v>128</v>
      </c>
      <c r="K10" s="65">
        <v>16</v>
      </c>
      <c r="L10" s="66">
        <f>K10/H10</f>
        <v>16</v>
      </c>
      <c r="M10" s="67">
        <f>+J10/K10</f>
        <v>8</v>
      </c>
      <c r="N10" s="68">
        <f>1099708.11+593370.74+224185+52839.5+17039.5+9578+7414+5098+4983.5+10660.5+14194.5+2400+3550+2380.5+7656.5+4091.5+1713+2737+828+128</f>
        <v>2064555.85</v>
      </c>
      <c r="O10" s="69">
        <f>102148+56106+22339+5539+1692+934+809+597+525+1619+1502+226+582+302+1163+486+470+558+154+16</f>
        <v>197767</v>
      </c>
      <c r="P10" s="70">
        <f>N10/O10</f>
        <v>10.439334418785743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0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C4" sqref="C4:C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20</vt:i4>
      </vt:variant>
    </vt:vector>
  </HeadingPairs>
  <TitlesOfParts>
    <vt:vector size="20" baseType="lpstr">
      <vt:lpstr>2015_20_15-21.05</vt:lpstr>
      <vt:lpstr>2015_19_08-14.05</vt:lpstr>
      <vt:lpstr>2015_18_01-07.05</vt:lpstr>
      <vt:lpstr>2015_17_24-30.04</vt:lpstr>
      <vt:lpstr>2015_16_17-23.04</vt:lpstr>
      <vt:lpstr>2015_15_10-16.04</vt:lpstr>
      <vt:lpstr>2015_14_03-09.04</vt:lpstr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2015-04-10T13:16:53Z</cp:lastPrinted>
  <dcterms:created xsi:type="dcterms:W3CDTF">2014-02-17T12:24:16Z</dcterms:created>
  <dcterms:modified xsi:type="dcterms:W3CDTF">2015-05-22T09:38:22Z</dcterms:modified>
</cp:coreProperties>
</file>